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L:\OKO-faelles$\Entreprenører\Beregning af indeks til entreprenørafregninger\Gasindeks\Til hjemmesiden\SBLON Vest\"/>
    </mc:Choice>
  </mc:AlternateContent>
  <xr:revisionPtr revIDLastSave="0" documentId="13_ncr:1_{702C3E13-36ED-42C9-B19B-063AA1DE2BC2}" xr6:coauthVersionLast="47" xr6:coauthVersionMax="47" xr10:uidLastSave="{00000000-0000-0000-0000-000000000000}"/>
  <bookViews>
    <workbookView xWindow="-120" yWindow="-120" windowWidth="29040" windowHeight="15720" xr2:uid="{2F9A1F76-B7B3-4512-9B6F-E0D2A2D57A9C}"/>
  </bookViews>
  <sheets>
    <sheet name="Indeks" sheetId="1" r:id="rId1"/>
    <sheet name="Reelle vægte" sheetId="2" r:id="rId2"/>
    <sheet name="Udvikling i indeks" sheetId="5" r:id="rId3"/>
    <sheet name="Kilder og dokumentation" sheetId="4" r:id="rId4"/>
    <sheet name="Note pris 10" sheetId="6" state="hidden" r:id="rId5"/>
    <sheet name="Beregning af Gasindeks" sheetId="7" r:id="rId6"/>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5">'Beregning af Gasindeks'!$A$1:$K$200</definedName>
    <definedName name="_xlnm.Print_Area" localSheetId="0">Indeks!$A$1:$L$280</definedName>
    <definedName name="_xlnm.Print_Area" localSheetId="3">'Kilder og dokumentation'!$A$1:$G$51</definedName>
    <definedName name="_xlnm.Print_Area" localSheetId="4">'Note pris 10'!$A$2:$K$7</definedName>
    <definedName name="_xlnm.Print_Titles" localSheetId="0">Indeks!$1:$3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2" i="1" l="1"/>
  <c r="C251" i="1"/>
  <c r="F250" i="1" l="1"/>
  <c r="E250" i="1"/>
  <c r="C250" i="1"/>
  <c r="H250" i="1" s="1"/>
  <c r="F249" i="1"/>
  <c r="E249" i="1"/>
  <c r="H249" i="1"/>
  <c r="F248" i="1"/>
  <c r="E248" i="1"/>
  <c r="H248" i="1"/>
  <c r="F247" i="1"/>
  <c r="E247" i="1"/>
  <c r="C249" i="1"/>
  <c r="C248" i="1"/>
  <c r="C247" i="1"/>
  <c r="H247" i="1" l="1"/>
  <c r="C246" i="1"/>
  <c r="C245" i="1"/>
  <c r="C244" i="1"/>
  <c r="H244" i="1" s="1"/>
  <c r="E246" i="1"/>
  <c r="E245" i="1"/>
  <c r="F244" i="1"/>
  <c r="E244" i="1"/>
  <c r="H185" i="7"/>
  <c r="I185" i="7"/>
  <c r="H190" i="7"/>
  <c r="I190" i="7"/>
  <c r="J190" i="7"/>
  <c r="H189" i="7"/>
  <c r="H188" i="7"/>
  <c r="I188" i="7" s="1"/>
  <c r="J188" i="7" s="1"/>
  <c r="H187" i="7"/>
  <c r="I187" i="7"/>
  <c r="J187" i="7" s="1"/>
  <c r="H186" i="7"/>
  <c r="I186" i="7" s="1"/>
  <c r="H184" i="7"/>
  <c r="I184" i="7" s="1"/>
  <c r="J184" i="7" s="1"/>
  <c r="H183" i="7"/>
  <c r="I183" i="7"/>
  <c r="J183" i="7" s="1"/>
  <c r="H182" i="7"/>
  <c r="H181" i="7"/>
  <c r="I181" i="7" s="1"/>
  <c r="H180" i="7"/>
  <c r="I180" i="7"/>
  <c r="J180" i="7" s="1"/>
  <c r="H179" i="7"/>
  <c r="I179" i="7"/>
  <c r="A256" i="5"/>
  <c r="A257" i="5"/>
  <c r="A258" i="5" s="1"/>
  <c r="A259" i="5" s="1"/>
  <c r="A260" i="5" s="1"/>
  <c r="A261" i="5" s="1"/>
  <c r="A262" i="5" s="1"/>
  <c r="A263" i="5" s="1"/>
  <c r="A264" i="5" s="1"/>
  <c r="A265" i="5" s="1"/>
  <c r="A266" i="5" s="1"/>
  <c r="A257" i="2"/>
  <c r="A258" i="2"/>
  <c r="A259" i="2" s="1"/>
  <c r="A260" i="2" s="1"/>
  <c r="A261" i="2" s="1"/>
  <c r="A262" i="2"/>
  <c r="A263" i="2" s="1"/>
  <c r="A264" i="2" s="1"/>
  <c r="A265" i="2" s="1"/>
  <c r="A266" i="2" s="1"/>
  <c r="A267" i="2" s="1"/>
  <c r="E243" i="1"/>
  <c r="E242" i="1"/>
  <c r="E241" i="1"/>
  <c r="C243" i="1"/>
  <c r="C242" i="1"/>
  <c r="C241" i="1"/>
  <c r="E240" i="1"/>
  <c r="E239" i="1"/>
  <c r="C239" i="1"/>
  <c r="H160" i="7"/>
  <c r="I160" i="7"/>
  <c r="C240" i="1"/>
  <c r="C238" i="1"/>
  <c r="E238" i="1"/>
  <c r="E237" i="1"/>
  <c r="E236" i="1"/>
  <c r="E235" i="1"/>
  <c r="C237" i="1"/>
  <c r="C236" i="1"/>
  <c r="C235" i="1"/>
  <c r="E234" i="1"/>
  <c r="E233" i="1"/>
  <c r="E232" i="1"/>
  <c r="C234" i="1"/>
  <c r="C233" i="1"/>
  <c r="C232" i="1"/>
  <c r="H165" i="7"/>
  <c r="I165" i="7"/>
  <c r="H164" i="7"/>
  <c r="I164" i="7"/>
  <c r="H163" i="7"/>
  <c r="I163" i="7"/>
  <c r="H162" i="7"/>
  <c r="H161" i="7"/>
  <c r="I161" i="7" s="1"/>
  <c r="J161" i="7"/>
  <c r="H159" i="7"/>
  <c r="H158" i="7"/>
  <c r="I158" i="7" s="1"/>
  <c r="J158" i="7" s="1"/>
  <c r="K158" i="7" s="1"/>
  <c r="H157" i="7"/>
  <c r="I157" i="7"/>
  <c r="J157" i="7" s="1"/>
  <c r="H156" i="7"/>
  <c r="I156" i="7" s="1"/>
  <c r="H155" i="7"/>
  <c r="I155" i="7"/>
  <c r="H154" i="7"/>
  <c r="A244" i="5"/>
  <c r="A245" i="5"/>
  <c r="A246" i="5" s="1"/>
  <c r="A247" i="5" s="1"/>
  <c r="A248" i="5" s="1"/>
  <c r="A249" i="5" s="1"/>
  <c r="A250" i="5" s="1"/>
  <c r="A251" i="5" s="1"/>
  <c r="A252" i="5"/>
  <c r="A253" i="5" s="1"/>
  <c r="A254" i="5" s="1"/>
  <c r="A245" i="2"/>
  <c r="A246" i="2" s="1"/>
  <c r="A247" i="2" s="1"/>
  <c r="A248" i="2" s="1"/>
  <c r="A249" i="2" s="1"/>
  <c r="A250" i="2" s="1"/>
  <c r="A251" i="2" s="1"/>
  <c r="A252" i="2" s="1"/>
  <c r="A253" i="2" s="1"/>
  <c r="A254" i="2" s="1"/>
  <c r="A255" i="2" s="1"/>
  <c r="E231" i="1"/>
  <c r="E230" i="1"/>
  <c r="C231" i="1"/>
  <c r="C230" i="1"/>
  <c r="C229" i="1"/>
  <c r="E229" i="1"/>
  <c r="E228" i="1"/>
  <c r="C228" i="1"/>
  <c r="H228" i="1" s="1"/>
  <c r="E227" i="1"/>
  <c r="E226" i="1"/>
  <c r="C227" i="1"/>
  <c r="C226" i="1"/>
  <c r="E225" i="1"/>
  <c r="E224" i="1"/>
  <c r="E223" i="1"/>
  <c r="C223" i="1"/>
  <c r="C225" i="1"/>
  <c r="C224" i="1"/>
  <c r="E222" i="1"/>
  <c r="E221" i="1"/>
  <c r="H141" i="7"/>
  <c r="H140" i="7"/>
  <c r="I140" i="7" s="1"/>
  <c r="H139" i="7"/>
  <c r="I139" i="7"/>
  <c r="H138" i="7"/>
  <c r="I138" i="7"/>
  <c r="H137" i="7"/>
  <c r="I137" i="7"/>
  <c r="H136" i="7"/>
  <c r="H135" i="7"/>
  <c r="I135" i="7" s="1"/>
  <c r="H134" i="7"/>
  <c r="I134" i="7"/>
  <c r="H133" i="7"/>
  <c r="H132" i="7"/>
  <c r="I132" i="7" s="1"/>
  <c r="H131" i="7"/>
  <c r="I131" i="7"/>
  <c r="H130" i="7"/>
  <c r="I130" i="7"/>
  <c r="A232" i="5"/>
  <c r="A233" i="5" s="1"/>
  <c r="A234" i="5" s="1"/>
  <c r="A235" i="5" s="1"/>
  <c r="A236" i="5" s="1"/>
  <c r="A237" i="5" s="1"/>
  <c r="A238" i="5" s="1"/>
  <c r="A239" i="5" s="1"/>
  <c r="A240" i="5" s="1"/>
  <c r="A241" i="5" s="1"/>
  <c r="A242" i="5" s="1"/>
  <c r="A233" i="2"/>
  <c r="A234" i="2" s="1"/>
  <c r="A235" i="2" s="1"/>
  <c r="A236" i="2"/>
  <c r="A237" i="2" s="1"/>
  <c r="A238" i="2" s="1"/>
  <c r="A239" i="2" s="1"/>
  <c r="A240" i="2" s="1"/>
  <c r="A241" i="2" s="1"/>
  <c r="A242" i="2" s="1"/>
  <c r="A243" i="2" s="1"/>
  <c r="C222" i="1"/>
  <c r="C221" i="1"/>
  <c r="E220" i="1"/>
  <c r="C220" i="1"/>
  <c r="H220" i="1" s="1"/>
  <c r="C219" i="5" s="1"/>
  <c r="E219" i="1"/>
  <c r="C219" i="1"/>
  <c r="C218" i="1"/>
  <c r="E218" i="1"/>
  <c r="C217" i="1"/>
  <c r="E217" i="1"/>
  <c r="E216" i="1"/>
  <c r="E215" i="1"/>
  <c r="E214" i="1"/>
  <c r="C216" i="1"/>
  <c r="C215" i="1"/>
  <c r="C214" i="1"/>
  <c r="E213" i="1"/>
  <c r="E212" i="1"/>
  <c r="C213" i="1"/>
  <c r="C212" i="1"/>
  <c r="H212" i="1" s="1"/>
  <c r="E211" i="1"/>
  <c r="C211" i="1"/>
  <c r="E210" i="1"/>
  <c r="E209" i="1"/>
  <c r="C209" i="1"/>
  <c r="A220" i="5"/>
  <c r="A221" i="5" s="1"/>
  <c r="A222" i="5" s="1"/>
  <c r="A223" i="5" s="1"/>
  <c r="A224" i="5" s="1"/>
  <c r="A225" i="5"/>
  <c r="A226" i="5" s="1"/>
  <c r="A227" i="5" s="1"/>
  <c r="A228" i="5"/>
  <c r="A229" i="5" s="1"/>
  <c r="A230" i="5" s="1"/>
  <c r="A221" i="2"/>
  <c r="A222" i="2"/>
  <c r="A223" i="2" s="1"/>
  <c r="A224" i="2"/>
  <c r="A225" i="2" s="1"/>
  <c r="A226" i="2" s="1"/>
  <c r="A227" i="2" s="1"/>
  <c r="A228" i="2" s="1"/>
  <c r="A229" i="2"/>
  <c r="A230" i="2" s="1"/>
  <c r="A231" i="2" s="1"/>
  <c r="E208" i="1"/>
  <c r="C210" i="1"/>
  <c r="C208" i="1"/>
  <c r="A221" i="1"/>
  <c r="A222" i="1"/>
  <c r="A223" i="1" s="1"/>
  <c r="A224" i="1" s="1"/>
  <c r="A225" i="1" s="1"/>
  <c r="A226" i="1" s="1"/>
  <c r="A227" i="1" s="1"/>
  <c r="A228" i="1" s="1"/>
  <c r="A229" i="1" s="1"/>
  <c r="A230" i="1" s="1"/>
  <c r="A231" i="1" s="1"/>
  <c r="H120" i="7"/>
  <c r="I120" i="7" s="1"/>
  <c r="H119" i="7"/>
  <c r="I119" i="7"/>
  <c r="J119" i="7" s="1"/>
  <c r="H118" i="7"/>
  <c r="I118" i="7"/>
  <c r="H117" i="7"/>
  <c r="I117" i="7" s="1"/>
  <c r="H116" i="7"/>
  <c r="I116" i="7" s="1"/>
  <c r="J116" i="7" s="1"/>
  <c r="H115" i="7"/>
  <c r="I115" i="7" s="1"/>
  <c r="H114" i="7"/>
  <c r="H113" i="7"/>
  <c r="I113" i="7" s="1"/>
  <c r="J113" i="7" s="1"/>
  <c r="H112" i="7"/>
  <c r="H111" i="7"/>
  <c r="I111" i="7" s="1"/>
  <c r="H110" i="7"/>
  <c r="J110" i="7"/>
  <c r="I110" i="7"/>
  <c r="H109" i="7"/>
  <c r="E207" i="1"/>
  <c r="E206" i="1"/>
  <c r="E205" i="1"/>
  <c r="C207" i="1"/>
  <c r="H207" i="1" s="1"/>
  <c r="C206" i="1"/>
  <c r="C205" i="1"/>
  <c r="H96" i="7"/>
  <c r="I96" i="7"/>
  <c r="J96" i="7" s="1"/>
  <c r="E204" i="1"/>
  <c r="E203" i="1"/>
  <c r="C204" i="1"/>
  <c r="C203" i="1"/>
  <c r="H203" i="1" s="1"/>
  <c r="F203" i="2" s="1"/>
  <c r="E202" i="1"/>
  <c r="C202" i="1"/>
  <c r="E201" i="1"/>
  <c r="E200" i="1"/>
  <c r="E199" i="1"/>
  <c r="C201" i="1"/>
  <c r="C200" i="1"/>
  <c r="C199" i="1"/>
  <c r="E198" i="1"/>
  <c r="E197" i="1"/>
  <c r="E196" i="1"/>
  <c r="C198" i="1"/>
  <c r="C197" i="1"/>
  <c r="C196" i="1"/>
  <c r="H99" i="7"/>
  <c r="I99" i="7" s="1"/>
  <c r="H98" i="7"/>
  <c r="H97" i="7"/>
  <c r="H95" i="7"/>
  <c r="H94" i="7"/>
  <c r="I94" i="7" s="1"/>
  <c r="H93" i="7"/>
  <c r="H92" i="7"/>
  <c r="H91" i="7"/>
  <c r="I91" i="7"/>
  <c r="J91" i="7"/>
  <c r="H90" i="7"/>
  <c r="I90" i="7"/>
  <c r="J90" i="7" s="1"/>
  <c r="H89" i="7"/>
  <c r="J89" i="7"/>
  <c r="I89" i="7"/>
  <c r="H88" i="7"/>
  <c r="I88" i="7" s="1"/>
  <c r="A208" i="5"/>
  <c r="A209" i="5"/>
  <c r="A210" i="5" s="1"/>
  <c r="A211" i="5" s="1"/>
  <c r="A212" i="5"/>
  <c r="A213" i="5"/>
  <c r="A214" i="5" s="1"/>
  <c r="A215" i="5" s="1"/>
  <c r="A216" i="5" s="1"/>
  <c r="A217" i="5" s="1"/>
  <c r="A218" i="5" s="1"/>
  <c r="A209" i="2"/>
  <c r="A210" i="2"/>
  <c r="A211" i="2" s="1"/>
  <c r="A212" i="2" s="1"/>
  <c r="A213" i="2"/>
  <c r="A214" i="2" s="1"/>
  <c r="A215" i="2" s="1"/>
  <c r="A216" i="2"/>
  <c r="A217" i="2" s="1"/>
  <c r="A218" i="2" s="1"/>
  <c r="A219" i="2"/>
  <c r="A209" i="1"/>
  <c r="A210" i="1" s="1"/>
  <c r="A211" i="1" s="1"/>
  <c r="A212" i="1" s="1"/>
  <c r="A213" i="1" s="1"/>
  <c r="A214" i="1" s="1"/>
  <c r="A215" i="1" s="1"/>
  <c r="A216" i="1" s="1"/>
  <c r="A217" i="1" s="1"/>
  <c r="A218" i="1" s="1"/>
  <c r="A219" i="1" s="1"/>
  <c r="E195" i="1"/>
  <c r="E194" i="1"/>
  <c r="E193" i="1"/>
  <c r="C195" i="1"/>
  <c r="C194" i="1"/>
  <c r="C193" i="1"/>
  <c r="E192" i="1"/>
  <c r="E191" i="1"/>
  <c r="E190" i="1"/>
  <c r="C192" i="1"/>
  <c r="C191" i="1"/>
  <c r="C190" i="1"/>
  <c r="E188" i="1"/>
  <c r="E189" i="1"/>
  <c r="E187" i="1"/>
  <c r="C189" i="1"/>
  <c r="H189" i="1" s="1"/>
  <c r="C188" i="1"/>
  <c r="H188" i="1" s="1"/>
  <c r="E188" i="2" s="1"/>
  <c r="C187" i="1"/>
  <c r="C185" i="1"/>
  <c r="C186" i="1"/>
  <c r="C184" i="1"/>
  <c r="H184" i="1" s="1"/>
  <c r="E186" i="1"/>
  <c r="E185" i="1"/>
  <c r="A185" i="1"/>
  <c r="A186" i="1" s="1"/>
  <c r="A187" i="1" s="1"/>
  <c r="A188" i="1" s="1"/>
  <c r="A189" i="1" s="1"/>
  <c r="A190" i="1" s="1"/>
  <c r="A191" i="1" s="1"/>
  <c r="A192" i="1" s="1"/>
  <c r="A193" i="1" s="1"/>
  <c r="A194" i="1" s="1"/>
  <c r="A195" i="1" s="1"/>
  <c r="E184" i="1"/>
  <c r="H78" i="7"/>
  <c r="H77" i="7"/>
  <c r="I77" i="7" s="1"/>
  <c r="J77" i="7"/>
  <c r="H76" i="7"/>
  <c r="I76" i="7"/>
  <c r="J76" i="7"/>
  <c r="H75" i="7"/>
  <c r="I75" i="7"/>
  <c r="H74" i="7"/>
  <c r="I74" i="7" s="1"/>
  <c r="H73" i="7"/>
  <c r="I73" i="7"/>
  <c r="H72" i="7"/>
  <c r="I72" i="7"/>
  <c r="H71" i="7"/>
  <c r="I71" i="7" s="1"/>
  <c r="H70" i="7"/>
  <c r="H69" i="7"/>
  <c r="I69" i="7"/>
  <c r="H68" i="7"/>
  <c r="I68" i="7"/>
  <c r="J68" i="7" s="1"/>
  <c r="H67" i="7"/>
  <c r="I67" i="7"/>
  <c r="J67" i="7" s="1"/>
  <c r="E183" i="1"/>
  <c r="A196" i="5"/>
  <c r="A197" i="5"/>
  <c r="A198" i="5"/>
  <c r="A199" i="5" s="1"/>
  <c r="A200" i="5" s="1"/>
  <c r="A201" i="5" s="1"/>
  <c r="A202" i="5" s="1"/>
  <c r="A203" i="5" s="1"/>
  <c r="A204" i="5" s="1"/>
  <c r="A205" i="5"/>
  <c r="A206" i="5" s="1"/>
  <c r="A197" i="2"/>
  <c r="A198" i="2" s="1"/>
  <c r="A199" i="2"/>
  <c r="A200" i="2" s="1"/>
  <c r="A201" i="2" s="1"/>
  <c r="A202" i="2" s="1"/>
  <c r="A203" i="2" s="1"/>
  <c r="A204" i="2" s="1"/>
  <c r="A205" i="2" s="1"/>
  <c r="A206" i="2" s="1"/>
  <c r="A207" i="2" s="1"/>
  <c r="A197" i="1"/>
  <c r="A198" i="1" s="1"/>
  <c r="A199" i="1" s="1"/>
  <c r="A200" i="1" s="1"/>
  <c r="A201" i="1" s="1"/>
  <c r="A202" i="1"/>
  <c r="A203" i="1" s="1"/>
  <c r="A204" i="1" s="1"/>
  <c r="A205" i="1" s="1"/>
  <c r="A206" i="1" s="1"/>
  <c r="A207" i="1" s="1"/>
  <c r="E182" i="1"/>
  <c r="E181" i="1"/>
  <c r="C183" i="1"/>
  <c r="C182" i="1"/>
  <c r="C181" i="1"/>
  <c r="E180" i="1"/>
  <c r="E179" i="1"/>
  <c r="E178" i="1"/>
  <c r="C180" i="1"/>
  <c r="C179" i="1"/>
  <c r="C178" i="1"/>
  <c r="E177" i="1"/>
  <c r="E176" i="1"/>
  <c r="E175" i="1"/>
  <c r="H175" i="1"/>
  <c r="E175" i="2" s="1"/>
  <c r="C177" i="1"/>
  <c r="C176" i="1"/>
  <c r="C175" i="1"/>
  <c r="E174" i="1"/>
  <c r="F173" i="1"/>
  <c r="F246" i="1"/>
  <c r="H246" i="1" s="1"/>
  <c r="C245" i="5" s="1"/>
  <c r="F175" i="1"/>
  <c r="E173" i="1"/>
  <c r="F172" i="1"/>
  <c r="E172" i="1"/>
  <c r="C174" i="1"/>
  <c r="C173" i="1"/>
  <c r="C172" i="1"/>
  <c r="H58" i="7"/>
  <c r="H57" i="7"/>
  <c r="I57" i="7"/>
  <c r="J57" i="7" s="1"/>
  <c r="H56" i="7"/>
  <c r="I56" i="7"/>
  <c r="J56" i="7" s="1"/>
  <c r="H55" i="7"/>
  <c r="I55" i="7" s="1"/>
  <c r="H54" i="7"/>
  <c r="I54" i="7" s="1"/>
  <c r="J54" i="7"/>
  <c r="H53" i="7"/>
  <c r="J53" i="7"/>
  <c r="H52" i="7"/>
  <c r="I52" i="7" s="1"/>
  <c r="H51" i="7"/>
  <c r="H50" i="7"/>
  <c r="I50" i="7"/>
  <c r="H49" i="7"/>
  <c r="I49" i="7"/>
  <c r="H48" i="7"/>
  <c r="I48" i="7"/>
  <c r="J48" i="7" s="1"/>
  <c r="H47" i="7"/>
  <c r="I47" i="7" s="1"/>
  <c r="A184" i="5"/>
  <c r="A185" i="5" s="1"/>
  <c r="A186" i="5" s="1"/>
  <c r="A187" i="5" s="1"/>
  <c r="A188" i="5"/>
  <c r="A189" i="5" s="1"/>
  <c r="A190" i="5" s="1"/>
  <c r="A191" i="5" s="1"/>
  <c r="A192" i="5"/>
  <c r="A193" i="5" s="1"/>
  <c r="A194" i="5" s="1"/>
  <c r="A185" i="2"/>
  <c r="A186" i="2" s="1"/>
  <c r="A187" i="2" s="1"/>
  <c r="A188" i="2" s="1"/>
  <c r="A189" i="2" s="1"/>
  <c r="A190" i="2" s="1"/>
  <c r="A191" i="2" s="1"/>
  <c r="A192" i="2" s="1"/>
  <c r="A193" i="2" s="1"/>
  <c r="A194" i="2" s="1"/>
  <c r="A195" i="2" s="1"/>
  <c r="F171" i="1"/>
  <c r="E171" i="1"/>
  <c r="F170" i="1"/>
  <c r="E170" i="1"/>
  <c r="F169" i="1"/>
  <c r="E169" i="1"/>
  <c r="C171" i="1"/>
  <c r="C170" i="1"/>
  <c r="C169" i="1"/>
  <c r="F168" i="1"/>
  <c r="E168" i="1"/>
  <c r="F167" i="1"/>
  <c r="E167" i="1"/>
  <c r="F166" i="1"/>
  <c r="H166" i="1" s="1"/>
  <c r="C168" i="1"/>
  <c r="C167" i="1"/>
  <c r="H167" i="1" s="1"/>
  <c r="E166" i="1"/>
  <c r="C166" i="1"/>
  <c r="F165" i="1"/>
  <c r="E165" i="1"/>
  <c r="H165" i="1"/>
  <c r="F164" i="1"/>
  <c r="E164" i="1"/>
  <c r="F163" i="1"/>
  <c r="C164" i="1"/>
  <c r="H36" i="7"/>
  <c r="C163" i="1"/>
  <c r="C165" i="1"/>
  <c r="E163" i="1"/>
  <c r="H163" i="1" s="1"/>
  <c r="C163" i="2" s="1"/>
  <c r="F162" i="1"/>
  <c r="H162" i="1" s="1"/>
  <c r="E162" i="2" s="1"/>
  <c r="E162" i="1"/>
  <c r="F161" i="1"/>
  <c r="E161" i="1"/>
  <c r="F160" i="1"/>
  <c r="E160" i="1"/>
  <c r="H160" i="1" s="1"/>
  <c r="C162" i="1"/>
  <c r="C161" i="1"/>
  <c r="C160" i="1"/>
  <c r="H43" i="7"/>
  <c r="H42" i="7"/>
  <c r="I42" i="7"/>
  <c r="J42" i="7" s="1"/>
  <c r="H41" i="7"/>
  <c r="I41" i="7"/>
  <c r="H40" i="7"/>
  <c r="H39" i="7"/>
  <c r="J39" i="7"/>
  <c r="I39" i="7"/>
  <c r="H38" i="7"/>
  <c r="I38" i="7"/>
  <c r="H37" i="7"/>
  <c r="I37" i="7" s="1"/>
  <c r="J37" i="7"/>
  <c r="H35" i="7"/>
  <c r="I35" i="7" s="1"/>
  <c r="J35" i="7"/>
  <c r="H34" i="7"/>
  <c r="I34" i="7" s="1"/>
  <c r="H33" i="7"/>
  <c r="I33" i="7" s="1"/>
  <c r="H32" i="7"/>
  <c r="H88" i="1"/>
  <c r="C88" i="2" s="1"/>
  <c r="C87" i="5"/>
  <c r="H75" i="1"/>
  <c r="G75" i="2" s="1"/>
  <c r="H74" i="1"/>
  <c r="F74" i="2" s="1"/>
  <c r="H73" i="1"/>
  <c r="E73" i="2" s="1"/>
  <c r="C72" i="5"/>
  <c r="H72" i="1"/>
  <c r="F72" i="2"/>
  <c r="H71" i="1"/>
  <c r="D71" i="2"/>
  <c r="H70" i="1"/>
  <c r="H69" i="1"/>
  <c r="H68" i="1"/>
  <c r="H67" i="1"/>
  <c r="H66" i="1"/>
  <c r="C65" i="5"/>
  <c r="H65" i="1"/>
  <c r="H64" i="1"/>
  <c r="E104" i="1"/>
  <c r="E129" i="1" s="1"/>
  <c r="E130" i="1" s="1"/>
  <c r="F159" i="1"/>
  <c r="H159" i="1" s="1"/>
  <c r="F148" i="1"/>
  <c r="F149" i="1"/>
  <c r="F150" i="1"/>
  <c r="F151" i="1"/>
  <c r="F152" i="1"/>
  <c r="H152" i="1" s="1"/>
  <c r="C152" i="2" s="1"/>
  <c r="F153" i="1"/>
  <c r="H153" i="1"/>
  <c r="F154" i="1"/>
  <c r="F155" i="1"/>
  <c r="F156" i="1"/>
  <c r="F157" i="1"/>
  <c r="F158" i="1"/>
  <c r="F158" i="2" s="1"/>
  <c r="F136" i="1"/>
  <c r="F137" i="1"/>
  <c r="F138" i="1"/>
  <c r="F139" i="1"/>
  <c r="F140" i="1"/>
  <c r="F141" i="1"/>
  <c r="F142" i="1"/>
  <c r="F143" i="1"/>
  <c r="H143" i="1"/>
  <c r="C143" i="2" s="1"/>
  <c r="F144" i="1"/>
  <c r="F145" i="1"/>
  <c r="F146" i="1"/>
  <c r="F147" i="1"/>
  <c r="G173" i="1"/>
  <c r="A172" i="5"/>
  <c r="A173" i="5" s="1"/>
  <c r="A174" i="5" s="1"/>
  <c r="A175" i="5"/>
  <c r="A176" i="5"/>
  <c r="A177" i="5" s="1"/>
  <c r="A178" i="5"/>
  <c r="A179" i="5" s="1"/>
  <c r="A180" i="5" s="1"/>
  <c r="A181" i="5" s="1"/>
  <c r="A182" i="5" s="1"/>
  <c r="A173" i="2"/>
  <c r="A174" i="2" s="1"/>
  <c r="A175" i="2"/>
  <c r="A176" i="2" s="1"/>
  <c r="A177" i="2" s="1"/>
  <c r="A178" i="2" s="1"/>
  <c r="A179" i="2"/>
  <c r="A180" i="2" s="1"/>
  <c r="A181" i="2" s="1"/>
  <c r="A182" i="2" s="1"/>
  <c r="A183" i="2" s="1"/>
  <c r="A173" i="1"/>
  <c r="A174" i="1"/>
  <c r="A175" i="1" s="1"/>
  <c r="A176" i="1"/>
  <c r="A177" i="1" s="1"/>
  <c r="A178" i="1" s="1"/>
  <c r="A179" i="1" s="1"/>
  <c r="A180" i="1" s="1"/>
  <c r="A181" i="1" s="1"/>
  <c r="A182" i="1" s="1"/>
  <c r="A183" i="1" s="1"/>
  <c r="E159" i="1"/>
  <c r="E158" i="1"/>
  <c r="C147" i="1"/>
  <c r="C136" i="1"/>
  <c r="C137" i="1"/>
  <c r="C138" i="1"/>
  <c r="C139" i="1"/>
  <c r="C140" i="1"/>
  <c r="C141" i="1"/>
  <c r="C142" i="1"/>
  <c r="H142" i="1" s="1"/>
  <c r="C143" i="1"/>
  <c r="C144" i="1"/>
  <c r="C145" i="1"/>
  <c r="C146" i="1"/>
  <c r="C124" i="1"/>
  <c r="C125" i="1"/>
  <c r="C126" i="1"/>
  <c r="C127" i="1"/>
  <c r="C128" i="1"/>
  <c r="C129" i="1"/>
  <c r="C130" i="1"/>
  <c r="C131" i="1"/>
  <c r="C132" i="1"/>
  <c r="H132" i="1" s="1"/>
  <c r="C133" i="1"/>
  <c r="C134" i="1"/>
  <c r="C135" i="1"/>
  <c r="E150" i="1"/>
  <c r="E149" i="1"/>
  <c r="A149" i="2"/>
  <c r="A150" i="2"/>
  <c r="A151" i="2" s="1"/>
  <c r="A152" i="2"/>
  <c r="A153" i="2" s="1"/>
  <c r="A154" i="2"/>
  <c r="A155" i="2" s="1"/>
  <c r="A156" i="2" s="1"/>
  <c r="A157" i="2" s="1"/>
  <c r="A158" i="2" s="1"/>
  <c r="A159" i="2" s="1"/>
  <c r="C157" i="1"/>
  <c r="E157" i="1"/>
  <c r="C158" i="1"/>
  <c r="C159" i="1"/>
  <c r="E148" i="1"/>
  <c r="E151" i="1"/>
  <c r="E152" i="1"/>
  <c r="E153" i="1"/>
  <c r="E154" i="1"/>
  <c r="E155" i="1"/>
  <c r="E156" i="1"/>
  <c r="E138" i="1"/>
  <c r="E139" i="1"/>
  <c r="E140" i="1"/>
  <c r="E141" i="1"/>
  <c r="E142" i="1"/>
  <c r="E143" i="1"/>
  <c r="E144" i="1"/>
  <c r="H144" i="1" s="1"/>
  <c r="E144" i="2" s="1"/>
  <c r="E145" i="1"/>
  <c r="E146" i="1"/>
  <c r="E147" i="1"/>
  <c r="C148" i="1"/>
  <c r="C151" i="1"/>
  <c r="C152" i="1"/>
  <c r="C153" i="1"/>
  <c r="C154" i="1"/>
  <c r="C155" i="1"/>
  <c r="C156" i="1"/>
  <c r="A161" i="2"/>
  <c r="A162" i="2" s="1"/>
  <c r="A163" i="2" s="1"/>
  <c r="A164" i="2" s="1"/>
  <c r="A165" i="2" s="1"/>
  <c r="A166" i="2" s="1"/>
  <c r="A167" i="2" s="1"/>
  <c r="A168" i="2"/>
  <c r="A169" i="2" s="1"/>
  <c r="A170" i="2" s="1"/>
  <c r="A171" i="2" s="1"/>
  <c r="H29" i="7"/>
  <c r="I29" i="7"/>
  <c r="G154" i="1"/>
  <c r="A149" i="1"/>
  <c r="A150" i="1" s="1"/>
  <c r="A151" i="1" s="1"/>
  <c r="A152" i="1" s="1"/>
  <c r="A153" i="1" s="1"/>
  <c r="A154" i="1" s="1"/>
  <c r="A155" i="1" s="1"/>
  <c r="A156" i="1" s="1"/>
  <c r="A157" i="1" s="1"/>
  <c r="A158" i="1" s="1"/>
  <c r="A159" i="1" s="1"/>
  <c r="H27" i="7"/>
  <c r="I27" i="7" s="1"/>
  <c r="J27" i="7"/>
  <c r="H28" i="7"/>
  <c r="H26" i="7"/>
  <c r="I26" i="7"/>
  <c r="H25" i="7"/>
  <c r="I25" i="7"/>
  <c r="H24" i="7"/>
  <c r="H23" i="7"/>
  <c r="I23" i="7" s="1"/>
  <c r="J23" i="7"/>
  <c r="H22" i="7"/>
  <c r="I22" i="7" s="1"/>
  <c r="H21" i="7"/>
  <c r="I21" i="7"/>
  <c r="H20" i="7"/>
  <c r="I20" i="7"/>
  <c r="J20" i="7" s="1"/>
  <c r="H19" i="7"/>
  <c r="I19" i="7"/>
  <c r="H18" i="7"/>
  <c r="I18" i="7"/>
  <c r="A160" i="5"/>
  <c r="A161" i="5" s="1"/>
  <c r="A162" i="5"/>
  <c r="A163" i="5" s="1"/>
  <c r="A164" i="5" s="1"/>
  <c r="A165" i="5" s="1"/>
  <c r="A166" i="5" s="1"/>
  <c r="A167" i="5" s="1"/>
  <c r="A168" i="5" s="1"/>
  <c r="A169" i="5" s="1"/>
  <c r="A170" i="5" s="1"/>
  <c r="A161" i="1"/>
  <c r="A162" i="1" s="1"/>
  <c r="A163" i="1"/>
  <c r="A164" i="1" s="1"/>
  <c r="A165" i="1" s="1"/>
  <c r="A166" i="1"/>
  <c r="A167" i="1" s="1"/>
  <c r="A168" i="1" s="1"/>
  <c r="A169" i="1" s="1"/>
  <c r="A170" i="1" s="1"/>
  <c r="A171" i="1" s="1"/>
  <c r="A137" i="1"/>
  <c r="A138" i="1"/>
  <c r="A139" i="1"/>
  <c r="A140" i="1" s="1"/>
  <c r="A141" i="1" s="1"/>
  <c r="A142" i="1"/>
  <c r="A143" i="1" s="1"/>
  <c r="A144" i="1" s="1"/>
  <c r="A145" i="1" s="1"/>
  <c r="A146" i="1" s="1"/>
  <c r="A147" i="1" s="1"/>
  <c r="A136" i="5"/>
  <c r="A137" i="5" s="1"/>
  <c r="A138" i="5" s="1"/>
  <c r="A139" i="5" s="1"/>
  <c r="A140" i="5" s="1"/>
  <c r="A141" i="5" s="1"/>
  <c r="A142" i="5" s="1"/>
  <c r="A143" i="5" s="1"/>
  <c r="A144" i="5" s="1"/>
  <c r="A145" i="5" s="1"/>
  <c r="A146" i="5" s="1"/>
  <c r="F133" i="1"/>
  <c r="A148" i="5"/>
  <c r="A149" i="5" s="1"/>
  <c r="A150" i="5" s="1"/>
  <c r="A151" i="5" s="1"/>
  <c r="A152" i="5" s="1"/>
  <c r="A153" i="5" s="1"/>
  <c r="A154" i="5"/>
  <c r="A155" i="5" s="1"/>
  <c r="A156" i="5" s="1"/>
  <c r="A157" i="5" s="1"/>
  <c r="A158" i="5"/>
  <c r="A125" i="2"/>
  <c r="A126" i="2" s="1"/>
  <c r="A127" i="2"/>
  <c r="A128" i="2"/>
  <c r="A129" i="2" s="1"/>
  <c r="A130" i="2" s="1"/>
  <c r="A131" i="2" s="1"/>
  <c r="A132" i="2" s="1"/>
  <c r="A133" i="2"/>
  <c r="A134" i="2" s="1"/>
  <c r="A135" i="2" s="1"/>
  <c r="F135" i="1"/>
  <c r="C123" i="1"/>
  <c r="H123" i="1"/>
  <c r="C122" i="1"/>
  <c r="C121" i="1"/>
  <c r="C120" i="1"/>
  <c r="C119" i="1"/>
  <c r="H119" i="1" s="1"/>
  <c r="I83" i="1" s="1"/>
  <c r="C117" i="1"/>
  <c r="H117" i="1" s="1"/>
  <c r="C116" i="1"/>
  <c r="H116" i="1" s="1"/>
  <c r="C114" i="1"/>
  <c r="C113" i="1"/>
  <c r="H113" i="1"/>
  <c r="G113" i="2" s="1"/>
  <c r="C111" i="1"/>
  <c r="H111" i="1" s="1"/>
  <c r="G111" i="2" s="1"/>
  <c r="C110" i="1"/>
  <c r="F134" i="1"/>
  <c r="E9" i="4"/>
  <c r="E10" i="4"/>
  <c r="H15" i="7"/>
  <c r="I15" i="7"/>
  <c r="J15" i="7" s="1"/>
  <c r="H14" i="7"/>
  <c r="I14" i="7" s="1"/>
  <c r="H13" i="7"/>
  <c r="I13" i="7" s="1"/>
  <c r="J13" i="7"/>
  <c r="H12" i="7"/>
  <c r="I12" i="7" s="1"/>
  <c r="H11" i="7"/>
  <c r="I11" i="7"/>
  <c r="H10" i="7"/>
  <c r="H9" i="7"/>
  <c r="I9" i="7" s="1"/>
  <c r="J9" i="7"/>
  <c r="H8" i="7"/>
  <c r="I8" i="7" s="1"/>
  <c r="J8" i="7"/>
  <c r="H7" i="7"/>
  <c r="I7" i="7" s="1"/>
  <c r="J7" i="7" s="1"/>
  <c r="H6" i="7"/>
  <c r="H5" i="7"/>
  <c r="I5" i="7"/>
  <c r="J5" i="7" s="1"/>
  <c r="H4" i="7"/>
  <c r="I4" i="7" s="1"/>
  <c r="F132" i="1"/>
  <c r="F131" i="1"/>
  <c r="F130" i="1"/>
  <c r="A124" i="5"/>
  <c r="A125" i="5" s="1"/>
  <c r="A126" i="5" s="1"/>
  <c r="A127" i="5" s="1"/>
  <c r="A128" i="5" s="1"/>
  <c r="A129" i="5" s="1"/>
  <c r="A130" i="5" s="1"/>
  <c r="A131" i="5" s="1"/>
  <c r="A132" i="5" s="1"/>
  <c r="A133" i="5" s="1"/>
  <c r="A134" i="5" s="1"/>
  <c r="F129" i="1"/>
  <c r="A125" i="1"/>
  <c r="A126" i="1" s="1"/>
  <c r="A127" i="1" s="1"/>
  <c r="A128" i="1" s="1"/>
  <c r="A129" i="1" s="1"/>
  <c r="A130" i="1" s="1"/>
  <c r="A131" i="1" s="1"/>
  <c r="A132" i="1" s="1"/>
  <c r="A133" i="1" s="1"/>
  <c r="A134" i="1" s="1"/>
  <c r="A135" i="1" s="1"/>
  <c r="F125" i="1"/>
  <c r="A137" i="2"/>
  <c r="A138" i="2" s="1"/>
  <c r="A139" i="2" s="1"/>
  <c r="A140" i="2"/>
  <c r="A141" i="2"/>
  <c r="A142" i="2" s="1"/>
  <c r="A143" i="2" s="1"/>
  <c r="A144" i="2" s="1"/>
  <c r="A145" i="2" s="1"/>
  <c r="A146" i="2" s="1"/>
  <c r="A147" i="2" s="1"/>
  <c r="F124" i="1"/>
  <c r="F123" i="1"/>
  <c r="F122" i="1"/>
  <c r="H122" i="1"/>
  <c r="C122" i="2" s="1"/>
  <c r="C118" i="1"/>
  <c r="H118" i="1" s="1"/>
  <c r="G118" i="2" s="1"/>
  <c r="H7" i="6"/>
  <c r="C7" i="6"/>
  <c r="K7" i="6"/>
  <c r="G7" i="6"/>
  <c r="C115" i="1"/>
  <c r="H115" i="1"/>
  <c r="F103" i="1"/>
  <c r="C112" i="1"/>
  <c r="H112" i="1"/>
  <c r="C109" i="1"/>
  <c r="H109" i="1"/>
  <c r="D109" i="2" s="1"/>
  <c r="C107" i="1"/>
  <c r="C108" i="1"/>
  <c r="H108" i="1"/>
  <c r="G108" i="2"/>
  <c r="C106" i="1"/>
  <c r="H106" i="1"/>
  <c r="F106" i="2" s="1"/>
  <c r="C104" i="1"/>
  <c r="C105" i="1"/>
  <c r="H105" i="1"/>
  <c r="C103" i="1"/>
  <c r="A112" i="5"/>
  <c r="A113" i="5" s="1"/>
  <c r="A114" i="5"/>
  <c r="A115" i="5" s="1"/>
  <c r="A116" i="5"/>
  <c r="A117" i="5" s="1"/>
  <c r="A118" i="5"/>
  <c r="A119" i="5" s="1"/>
  <c r="A120" i="5" s="1"/>
  <c r="A121" i="5" s="1"/>
  <c r="A122" i="5" s="1"/>
  <c r="A113" i="2"/>
  <c r="A114" i="2"/>
  <c r="A115" i="2" s="1"/>
  <c r="A116" i="2"/>
  <c r="A117" i="2"/>
  <c r="A118" i="2" s="1"/>
  <c r="A119" i="2" s="1"/>
  <c r="A120" i="2" s="1"/>
  <c r="A121" i="2" s="1"/>
  <c r="A122" i="2" s="1"/>
  <c r="A123" i="2" s="1"/>
  <c r="C102" i="1"/>
  <c r="C101" i="1"/>
  <c r="H101" i="1"/>
  <c r="G101" i="2" s="1"/>
  <c r="C100" i="1"/>
  <c r="H100" i="1"/>
  <c r="G100" i="2" s="1"/>
  <c r="A5" i="1"/>
  <c r="A6" i="1" s="1"/>
  <c r="A7" i="1" s="1"/>
  <c r="A8" i="1" s="1"/>
  <c r="A9" i="1" s="1"/>
  <c r="A10" i="1" s="1"/>
  <c r="A11" i="1" s="1"/>
  <c r="A12" i="1" s="1"/>
  <c r="A13" i="1" s="1"/>
  <c r="A14" i="1"/>
  <c r="A15" i="1" s="1"/>
  <c r="H10" i="1"/>
  <c r="H11" i="1"/>
  <c r="H12" i="1"/>
  <c r="E12" i="2"/>
  <c r="H13" i="1"/>
  <c r="C12" i="5" s="1"/>
  <c r="D12" i="5" s="1"/>
  <c r="H14" i="1"/>
  <c r="C13" i="5"/>
  <c r="H15" i="1"/>
  <c r="C15" i="2"/>
  <c r="H16" i="1"/>
  <c r="C16" i="2" s="1"/>
  <c r="A17" i="1"/>
  <c r="A18" i="1" s="1"/>
  <c r="A19" i="1" s="1"/>
  <c r="A20" i="1" s="1"/>
  <c r="A21" i="1" s="1"/>
  <c r="A22" i="1" s="1"/>
  <c r="A23" i="1"/>
  <c r="A24" i="1" s="1"/>
  <c r="A25" i="1" s="1"/>
  <c r="A26" i="1" s="1"/>
  <c r="A27" i="1" s="1"/>
  <c r="H17" i="1"/>
  <c r="H18" i="1"/>
  <c r="E18" i="2" s="1"/>
  <c r="H19" i="1"/>
  <c r="C19" i="2"/>
  <c r="H20" i="1"/>
  <c r="C20" i="2"/>
  <c r="H21" i="1"/>
  <c r="H22" i="1"/>
  <c r="F22" i="2" s="1"/>
  <c r="H23" i="1"/>
  <c r="D23" i="2" s="1"/>
  <c r="C23" i="2"/>
  <c r="H23" i="2" s="1"/>
  <c r="H24" i="1"/>
  <c r="E24" i="2"/>
  <c r="H25" i="1"/>
  <c r="H26" i="1"/>
  <c r="D26" i="2"/>
  <c r="H27" i="1"/>
  <c r="H28" i="1"/>
  <c r="A29" i="1"/>
  <c r="A30" i="1"/>
  <c r="A31" i="1" s="1"/>
  <c r="A32" i="1" s="1"/>
  <c r="A33" i="1" s="1"/>
  <c r="A34" i="1" s="1"/>
  <c r="A35" i="1" s="1"/>
  <c r="A36" i="1" s="1"/>
  <c r="A37" i="1" s="1"/>
  <c r="A38" i="1" s="1"/>
  <c r="A39" i="1" s="1"/>
  <c r="H29" i="1"/>
  <c r="C28" i="5" s="1"/>
  <c r="H30" i="1"/>
  <c r="H31" i="1"/>
  <c r="D31" i="2"/>
  <c r="H32" i="1"/>
  <c r="E32" i="2"/>
  <c r="H32" i="2" s="1"/>
  <c r="F32" i="2"/>
  <c r="H33" i="1"/>
  <c r="H34" i="1"/>
  <c r="H35" i="1"/>
  <c r="H36" i="1"/>
  <c r="H37" i="1"/>
  <c r="H38" i="1"/>
  <c r="C38" i="2" s="1"/>
  <c r="H39" i="1"/>
  <c r="E39" i="2" s="1"/>
  <c r="G39" i="2"/>
  <c r="H40" i="1"/>
  <c r="G40" i="2"/>
  <c r="A41" i="1"/>
  <c r="A42" i="1"/>
  <c r="A43" i="1" s="1"/>
  <c r="A44" i="1" s="1"/>
  <c r="A45" i="1" s="1"/>
  <c r="A46" i="1" s="1"/>
  <c r="A47" i="1" s="1"/>
  <c r="A48" i="1" s="1"/>
  <c r="A49" i="1"/>
  <c r="A50" i="1" s="1"/>
  <c r="A51" i="1" s="1"/>
  <c r="H41" i="1"/>
  <c r="H42" i="1"/>
  <c r="H43" i="1"/>
  <c r="C42" i="5" s="1"/>
  <c r="H44" i="1"/>
  <c r="C44" i="2" s="1"/>
  <c r="H45" i="1"/>
  <c r="H46" i="1"/>
  <c r="E46" i="2" s="1"/>
  <c r="H47" i="1"/>
  <c r="G47" i="2"/>
  <c r="H48" i="1"/>
  <c r="F48" i="2" s="1"/>
  <c r="H49" i="1"/>
  <c r="F49" i="2" s="1"/>
  <c r="H50" i="1"/>
  <c r="C50" i="2"/>
  <c r="H51" i="1"/>
  <c r="E51" i="2"/>
  <c r="H52" i="1"/>
  <c r="A53" i="1"/>
  <c r="A54" i="1"/>
  <c r="A55" i="1" s="1"/>
  <c r="A56" i="1"/>
  <c r="A57" i="1" s="1"/>
  <c r="A58" i="1"/>
  <c r="A59" i="1" s="1"/>
  <c r="A60" i="1" s="1"/>
  <c r="A61" i="1" s="1"/>
  <c r="A62" i="1" s="1"/>
  <c r="A63" i="1" s="1"/>
  <c r="H53" i="1"/>
  <c r="C53" i="2"/>
  <c r="H54" i="1"/>
  <c r="H55" i="1"/>
  <c r="E55" i="2"/>
  <c r="H56" i="1"/>
  <c r="C56" i="2"/>
  <c r="H56" i="2" s="1"/>
  <c r="H57" i="1"/>
  <c r="F57" i="2" s="1"/>
  <c r="H58" i="1"/>
  <c r="D58" i="2" s="1"/>
  <c r="H59" i="1"/>
  <c r="C58" i="5"/>
  <c r="H60" i="1"/>
  <c r="I60" i="1" s="1"/>
  <c r="H61" i="1"/>
  <c r="C61" i="2"/>
  <c r="H62" i="1"/>
  <c r="H63" i="1"/>
  <c r="G63" i="2"/>
  <c r="H76" i="1"/>
  <c r="A77" i="1"/>
  <c r="A78" i="1" s="1"/>
  <c r="A79" i="1" s="1"/>
  <c r="A80" i="1" s="1"/>
  <c r="A81" i="1" s="1"/>
  <c r="A82" i="1" s="1"/>
  <c r="A83" i="1" s="1"/>
  <c r="A84" i="1" s="1"/>
  <c r="A85" i="1" s="1"/>
  <c r="A86" i="1"/>
  <c r="A87" i="1" s="1"/>
  <c r="H77" i="1"/>
  <c r="H78" i="1"/>
  <c r="F78" i="2" s="1"/>
  <c r="H78" i="2" s="1"/>
  <c r="H79" i="1"/>
  <c r="D79" i="2"/>
  <c r="E79" i="2"/>
  <c r="C80" i="1"/>
  <c r="H80" i="1"/>
  <c r="C81" i="1"/>
  <c r="H82" i="1"/>
  <c r="G82" i="2"/>
  <c r="C83" i="1"/>
  <c r="H83" i="1" s="1"/>
  <c r="C82" i="5" s="1"/>
  <c r="C84" i="1"/>
  <c r="H84" i="1" s="1"/>
  <c r="H85" i="1"/>
  <c r="C84" i="5"/>
  <c r="C86" i="1"/>
  <c r="H86" i="1"/>
  <c r="C87" i="1"/>
  <c r="A89" i="1"/>
  <c r="A90" i="1"/>
  <c r="A91" i="1" s="1"/>
  <c r="A92" i="1" s="1"/>
  <c r="A93" i="1" s="1"/>
  <c r="A94" i="1" s="1"/>
  <c r="A95" i="1" s="1"/>
  <c r="A96" i="1" s="1"/>
  <c r="A97" i="1" s="1"/>
  <c r="A98" i="1" s="1"/>
  <c r="A99" i="1" s="1"/>
  <c r="C89" i="1"/>
  <c r="H89" i="1" s="1"/>
  <c r="C88" i="5" s="1"/>
  <c r="C90" i="1"/>
  <c r="H91" i="1"/>
  <c r="C92" i="1"/>
  <c r="H92" i="1"/>
  <c r="C93" i="1"/>
  <c r="H94" i="1"/>
  <c r="C93" i="5" s="1"/>
  <c r="C95" i="1"/>
  <c r="H95" i="1"/>
  <c r="G95" i="2"/>
  <c r="C96" i="1"/>
  <c r="H96" i="1" s="1"/>
  <c r="E96" i="2" s="1"/>
  <c r="H97" i="1"/>
  <c r="C98" i="1"/>
  <c r="C99" i="1"/>
  <c r="H99" i="1"/>
  <c r="G99" i="2" s="1"/>
  <c r="D99" i="1"/>
  <c r="A101" i="1"/>
  <c r="A102" i="1"/>
  <c r="A103" i="1" s="1"/>
  <c r="A104" i="1"/>
  <c r="A105" i="1"/>
  <c r="A106" i="1" s="1"/>
  <c r="A107" i="1"/>
  <c r="A108" i="1" s="1"/>
  <c r="A109" i="1" s="1"/>
  <c r="A110" i="1" s="1"/>
  <c r="A111" i="1" s="1"/>
  <c r="A113" i="1"/>
  <c r="A114" i="1"/>
  <c r="A115" i="1"/>
  <c r="A116" i="1" s="1"/>
  <c r="A117" i="1" s="1"/>
  <c r="A118" i="1" s="1"/>
  <c r="A119" i="1" s="1"/>
  <c r="A120" i="1"/>
  <c r="A121" i="1" s="1"/>
  <c r="A122" i="1" s="1"/>
  <c r="A123" i="1" s="1"/>
  <c r="A100" i="5"/>
  <c r="A101" i="5"/>
  <c r="A102" i="5" s="1"/>
  <c r="A103" i="5" s="1"/>
  <c r="A104" i="5" s="1"/>
  <c r="A105" i="5" s="1"/>
  <c r="A106" i="5" s="1"/>
  <c r="A107" i="5" s="1"/>
  <c r="A108" i="5" s="1"/>
  <c r="A109" i="5" s="1"/>
  <c r="A110" i="5" s="1"/>
  <c r="A88" i="5"/>
  <c r="A89" i="5"/>
  <c r="A90" i="5" s="1"/>
  <c r="A91" i="5" s="1"/>
  <c r="A92" i="5" s="1"/>
  <c r="A93" i="5" s="1"/>
  <c r="A94" i="5" s="1"/>
  <c r="A95" i="5"/>
  <c r="A96" i="5" s="1"/>
  <c r="A97" i="5" s="1"/>
  <c r="A98" i="5" s="1"/>
  <c r="A101" i="2"/>
  <c r="A102" i="2"/>
  <c r="A103" i="2" s="1"/>
  <c r="A104" i="2" s="1"/>
  <c r="A105" i="2" s="1"/>
  <c r="A106" i="2" s="1"/>
  <c r="A107" i="2" s="1"/>
  <c r="A108" i="2" s="1"/>
  <c r="A109" i="2" s="1"/>
  <c r="A110" i="2" s="1"/>
  <c r="A111" i="2" s="1"/>
  <c r="A89" i="2"/>
  <c r="A90" i="2" s="1"/>
  <c r="A91" i="2"/>
  <c r="A92" i="2" s="1"/>
  <c r="A93" i="2" s="1"/>
  <c r="A94" i="2" s="1"/>
  <c r="A95" i="2" s="1"/>
  <c r="A96" i="2" s="1"/>
  <c r="A97" i="2" s="1"/>
  <c r="A98" i="2" s="1"/>
  <c r="A99" i="2" s="1"/>
  <c r="G26" i="5"/>
  <c r="G14" i="5"/>
  <c r="F14" i="5"/>
  <c r="D9" i="5"/>
  <c r="A76" i="5"/>
  <c r="A77" i="5"/>
  <c r="A78" i="5" s="1"/>
  <c r="A79" i="5" s="1"/>
  <c r="A80" i="5" s="1"/>
  <c r="A81" i="5"/>
  <c r="A82" i="5" s="1"/>
  <c r="A83" i="5" s="1"/>
  <c r="A84" i="5" s="1"/>
  <c r="A85" i="5" s="1"/>
  <c r="A86" i="5" s="1"/>
  <c r="A64" i="5"/>
  <c r="A65" i="5"/>
  <c r="A66" i="5" s="1"/>
  <c r="A67" i="5" s="1"/>
  <c r="A68" i="5"/>
  <c r="A69" i="5" s="1"/>
  <c r="A70" i="5" s="1"/>
  <c r="A71" i="5" s="1"/>
  <c r="A72" i="5" s="1"/>
  <c r="A73" i="5" s="1"/>
  <c r="A74" i="5" s="1"/>
  <c r="A52" i="5"/>
  <c r="A53" i="5"/>
  <c r="A54" i="5" s="1"/>
  <c r="A55" i="5" s="1"/>
  <c r="A56" i="5" s="1"/>
  <c r="A57" i="5" s="1"/>
  <c r="A58" i="5" s="1"/>
  <c r="A59" i="5" s="1"/>
  <c r="A60" i="5" s="1"/>
  <c r="A61" i="5" s="1"/>
  <c r="A62" i="5" s="1"/>
  <c r="A40" i="5"/>
  <c r="A41" i="5"/>
  <c r="A42" i="5" s="1"/>
  <c r="A43" i="5" s="1"/>
  <c r="A44" i="5"/>
  <c r="A45" i="5"/>
  <c r="A46" i="5" s="1"/>
  <c r="A47" i="5" s="1"/>
  <c r="A48" i="5" s="1"/>
  <c r="A49" i="5" s="1"/>
  <c r="A50" i="5" s="1"/>
  <c r="A28" i="5"/>
  <c r="A29" i="5"/>
  <c r="A30" i="5" s="1"/>
  <c r="A31" i="5" s="1"/>
  <c r="A32" i="5" s="1"/>
  <c r="A33" i="5" s="1"/>
  <c r="A34" i="5" s="1"/>
  <c r="A35" i="5" s="1"/>
  <c r="A36" i="5"/>
  <c r="A37" i="5" s="1"/>
  <c r="A38" i="5" s="1"/>
  <c r="A16" i="5"/>
  <c r="A17" i="5" s="1"/>
  <c r="A18" i="5"/>
  <c r="A19" i="5" s="1"/>
  <c r="A20" i="5" s="1"/>
  <c r="A21" i="5"/>
  <c r="A22" i="5"/>
  <c r="A23" i="5"/>
  <c r="A24" i="5" s="1"/>
  <c r="A25" i="5" s="1"/>
  <c r="A26" i="5" s="1"/>
  <c r="A4" i="5"/>
  <c r="A5" i="5" s="1"/>
  <c r="A6" i="5"/>
  <c r="A7" i="5" s="1"/>
  <c r="A8" i="5" s="1"/>
  <c r="A9" i="5" s="1"/>
  <c r="A10" i="5" s="1"/>
  <c r="A11" i="5" s="1"/>
  <c r="A12" i="5" s="1"/>
  <c r="A13" i="5" s="1"/>
  <c r="A14" i="5" s="1"/>
  <c r="A77" i="2"/>
  <c r="A78" i="2" s="1"/>
  <c r="A79" i="2"/>
  <c r="A80" i="2" s="1"/>
  <c r="A81" i="2" s="1"/>
  <c r="A82" i="2" s="1"/>
  <c r="A83" i="2" s="1"/>
  <c r="A84" i="2" s="1"/>
  <c r="A85" i="2" s="1"/>
  <c r="A86" i="2" s="1"/>
  <c r="A87" i="2" s="1"/>
  <c r="A65" i="2"/>
  <c r="A66" i="2" s="1"/>
  <c r="A67" i="2" s="1"/>
  <c r="A68" i="2" s="1"/>
  <c r="A69" i="2" s="1"/>
  <c r="A70" i="2" s="1"/>
  <c r="A71" i="2" s="1"/>
  <c r="A72" i="2" s="1"/>
  <c r="A73" i="2" s="1"/>
  <c r="A74" i="2" s="1"/>
  <c r="A75" i="2" s="1"/>
  <c r="A41" i="2"/>
  <c r="A42" i="2" s="1"/>
  <c r="A43" i="2" s="1"/>
  <c r="A44" i="2" s="1"/>
  <c r="A45" i="2" s="1"/>
  <c r="A46" i="2" s="1"/>
  <c r="A47" i="2" s="1"/>
  <c r="A48" i="2" s="1"/>
  <c r="A49" i="2" s="1"/>
  <c r="A50" i="2" s="1"/>
  <c r="A51" i="2" s="1"/>
  <c r="A53" i="2"/>
  <c r="A54" i="2"/>
  <c r="A55" i="2" s="1"/>
  <c r="A56" i="2"/>
  <c r="A57" i="2" s="1"/>
  <c r="A58" i="2" s="1"/>
  <c r="A59" i="2" s="1"/>
  <c r="A60" i="2"/>
  <c r="A61" i="2" s="1"/>
  <c r="A62" i="2" s="1"/>
  <c r="A63" i="2" s="1"/>
  <c r="E11" i="4"/>
  <c r="E7" i="4"/>
  <c r="E6" i="4"/>
  <c r="I7" i="1"/>
  <c r="I6" i="1"/>
  <c r="I8" i="1"/>
  <c r="I9" i="1"/>
  <c r="I5" i="1"/>
  <c r="H102" i="1"/>
  <c r="C41" i="2"/>
  <c r="E41" i="2"/>
  <c r="G138" i="1"/>
  <c r="E33" i="2"/>
  <c r="F16" i="2"/>
  <c r="G16" i="2"/>
  <c r="H16" i="2" s="1"/>
  <c r="D16" i="2"/>
  <c r="F61" i="2"/>
  <c r="I21" i="1"/>
  <c r="C63" i="2"/>
  <c r="F35" i="2"/>
  <c r="H121" i="1"/>
  <c r="G121" i="2" s="1"/>
  <c r="E121" i="2"/>
  <c r="C120" i="5"/>
  <c r="D120" i="5" s="1"/>
  <c r="D7" i="6"/>
  <c r="E7" i="6"/>
  <c r="I7" i="6"/>
  <c r="J7" i="6"/>
  <c r="F7" i="6"/>
  <c r="F179" i="1"/>
  <c r="H179" i="1" s="1"/>
  <c r="F176" i="1"/>
  <c r="C70" i="5"/>
  <c r="E71" i="2"/>
  <c r="F71" i="2"/>
  <c r="C71" i="2"/>
  <c r="H71" i="2"/>
  <c r="F184" i="1"/>
  <c r="F188" i="1"/>
  <c r="F191" i="1"/>
  <c r="F178" i="1"/>
  <c r="F174" i="1"/>
  <c r="F197" i="1"/>
  <c r="H197" i="1"/>
  <c r="F207" i="1"/>
  <c r="F180" i="1"/>
  <c r="D46" i="2"/>
  <c r="G25" i="2"/>
  <c r="G46" i="2"/>
  <c r="F46" i="2"/>
  <c r="I133" i="7"/>
  <c r="J133" i="7" s="1"/>
  <c r="I141" i="7"/>
  <c r="J141" i="7"/>
  <c r="G32" i="2"/>
  <c r="F39" i="2"/>
  <c r="C38" i="5"/>
  <c r="F51" i="2"/>
  <c r="C32" i="2"/>
  <c r="C31" i="5"/>
  <c r="G76" i="2"/>
  <c r="F209" i="1"/>
  <c r="H209" i="1" s="1"/>
  <c r="H151" i="1"/>
  <c r="C43" i="5"/>
  <c r="D43" i="5" s="1"/>
  <c r="E44" i="2"/>
  <c r="D44" i="2"/>
  <c r="G109" i="2"/>
  <c r="E109" i="2"/>
  <c r="C96" i="5"/>
  <c r="I62" i="1"/>
  <c r="F214" i="1"/>
  <c r="F214" i="2" s="1"/>
  <c r="F208" i="1"/>
  <c r="H208" i="1" s="1"/>
  <c r="C207" i="5" s="1"/>
  <c r="I10" i="7"/>
  <c r="J10" i="7"/>
  <c r="I53" i="7"/>
  <c r="C121" i="5"/>
  <c r="F228" i="1"/>
  <c r="F225" i="1"/>
  <c r="F226" i="1"/>
  <c r="F26" i="2"/>
  <c r="C25" i="5"/>
  <c r="D45" i="2"/>
  <c r="F31" i="2"/>
  <c r="I33" i="1"/>
  <c r="C77" i="2"/>
  <c r="C76" i="5"/>
  <c r="F40" i="2"/>
  <c r="C12" i="2"/>
  <c r="H12" i="2" s="1"/>
  <c r="F211" i="1"/>
  <c r="C16" i="5"/>
  <c r="I34" i="1"/>
  <c r="I70" i="7"/>
  <c r="J70" i="7" s="1"/>
  <c r="I154" i="7"/>
  <c r="I162" i="7"/>
  <c r="D112" i="2"/>
  <c r="F112" i="2"/>
  <c r="C111" i="5"/>
  <c r="G112" i="2"/>
  <c r="E112" i="2"/>
  <c r="C112" i="2"/>
  <c r="C33" i="5"/>
  <c r="D40" i="2"/>
  <c r="C27" i="2"/>
  <c r="C94" i="2"/>
  <c r="C74" i="5"/>
  <c r="G28" i="2"/>
  <c r="E28" i="2"/>
  <c r="E53" i="2"/>
  <c r="C75" i="2"/>
  <c r="D67" i="2"/>
  <c r="G53" i="2"/>
  <c r="D53" i="2"/>
  <c r="C67" i="2"/>
  <c r="I54" i="1"/>
  <c r="C14" i="5"/>
  <c r="D14" i="5"/>
  <c r="G15" i="2"/>
  <c r="H15" i="2" s="1"/>
  <c r="G67" i="2"/>
  <c r="H120" i="1"/>
  <c r="C74" i="2"/>
  <c r="E74" i="2"/>
  <c r="C82" i="2"/>
  <c r="I95" i="1"/>
  <c r="I45" i="1"/>
  <c r="E45" i="2"/>
  <c r="H90" i="1"/>
  <c r="E90" i="2" s="1"/>
  <c r="C90" i="2"/>
  <c r="C69" i="2"/>
  <c r="G69" i="2"/>
  <c r="G55" i="2"/>
  <c r="C63" i="5"/>
  <c r="C119" i="2"/>
  <c r="F82" i="2"/>
  <c r="D17" i="2"/>
  <c r="F12" i="2"/>
  <c r="C85" i="2"/>
  <c r="G12" i="2"/>
  <c r="C11" i="5"/>
  <c r="G33" i="2"/>
  <c r="D12" i="2"/>
  <c r="F60" i="2"/>
  <c r="I61" i="1"/>
  <c r="E100" i="2"/>
  <c r="C100" i="2"/>
  <c r="H100" i="2" s="1"/>
  <c r="F24" i="2"/>
  <c r="D91" i="2"/>
  <c r="C48" i="5"/>
  <c r="D49" i="2"/>
  <c r="C49" i="2"/>
  <c r="F230" i="1"/>
  <c r="F117" i="2"/>
  <c r="E16" i="2"/>
  <c r="C68" i="5"/>
  <c r="E123" i="2"/>
  <c r="I87" i="1"/>
  <c r="C95" i="5"/>
  <c r="C142" i="2"/>
  <c r="E85" i="2"/>
  <c r="F122" i="2"/>
  <c r="D51" i="2"/>
  <c r="C50" i="5"/>
  <c r="C51" i="2"/>
  <c r="G51" i="2"/>
  <c r="F28" i="2"/>
  <c r="D28" i="2"/>
  <c r="C27" i="5"/>
  <c r="D28" i="5" s="1"/>
  <c r="C28" i="2"/>
  <c r="F58" i="2"/>
  <c r="F76" i="2"/>
  <c r="C76" i="2"/>
  <c r="C75" i="5"/>
  <c r="E35" i="2"/>
  <c r="C109" i="2"/>
  <c r="H109" i="2" s="1"/>
  <c r="F109" i="2"/>
  <c r="E63" i="2"/>
  <c r="C62" i="5"/>
  <c r="D63" i="5" s="1"/>
  <c r="C77" i="5"/>
  <c r="E78" i="2"/>
  <c r="D78" i="2"/>
  <c r="G35" i="2"/>
  <c r="C78" i="2"/>
  <c r="D76" i="2"/>
  <c r="H76" i="2"/>
  <c r="F217" i="1"/>
  <c r="F216" i="1"/>
  <c r="F206" i="1"/>
  <c r="H206" i="1" s="1"/>
  <c r="F200" i="1"/>
  <c r="F186" i="1"/>
  <c r="G71" i="2"/>
  <c r="E88" i="2"/>
  <c r="F231" i="1"/>
  <c r="F220" i="1"/>
  <c r="F215" i="1"/>
  <c r="F204" i="1"/>
  <c r="F177" i="1"/>
  <c r="H177" i="1" s="1"/>
  <c r="D177" i="2" s="1"/>
  <c r="F198" i="1"/>
  <c r="F193" i="1"/>
  <c r="F187" i="1"/>
  <c r="H187" i="1"/>
  <c r="F182" i="1"/>
  <c r="H182" i="1"/>
  <c r="J75" i="7"/>
  <c r="I78" i="7"/>
  <c r="J78" i="7" s="1"/>
  <c r="I97" i="7"/>
  <c r="J97" i="7" s="1"/>
  <c r="I98" i="7"/>
  <c r="J98" i="7" s="1"/>
  <c r="J55" i="7"/>
  <c r="C165" i="5"/>
  <c r="D166" i="2"/>
  <c r="F80" i="2"/>
  <c r="I30" i="1"/>
  <c r="D59" i="2"/>
  <c r="G21" i="2"/>
  <c r="D20" i="2"/>
  <c r="H20" i="2" s="1"/>
  <c r="D121" i="2"/>
  <c r="I57" i="1"/>
  <c r="E75" i="2"/>
  <c r="H75" i="2" s="1"/>
  <c r="D30" i="2"/>
  <c r="D61" i="2"/>
  <c r="C123" i="2"/>
  <c r="G49" i="2"/>
  <c r="F15" i="2"/>
  <c r="C17" i="2"/>
  <c r="I22" i="1"/>
  <c r="F21" i="2"/>
  <c r="E49" i="2"/>
  <c r="H158" i="1"/>
  <c r="D75" i="5"/>
  <c r="G11" i="2"/>
  <c r="G90" i="2"/>
  <c r="G20" i="2"/>
  <c r="C59" i="2"/>
  <c r="F167" i="2"/>
  <c r="I86" i="1"/>
  <c r="G59" i="2"/>
  <c r="C19" i="5"/>
  <c r="D19" i="5" s="1"/>
  <c r="C9" i="5"/>
  <c r="E30" i="2"/>
  <c r="C78" i="5"/>
  <c r="E15" i="2"/>
  <c r="D15" i="2"/>
  <c r="I76" i="1"/>
  <c r="C34" i="2"/>
  <c r="F30" i="2"/>
  <c r="E20" i="2"/>
  <c r="I12" i="1"/>
  <c r="G73" i="2"/>
  <c r="F75" i="2"/>
  <c r="C119" i="5"/>
  <c r="E19" i="2"/>
  <c r="G92" i="2"/>
  <c r="E118" i="2"/>
  <c r="D120" i="2"/>
  <c r="D19" i="2"/>
  <c r="D74" i="2"/>
  <c r="D75" i="2"/>
  <c r="I49" i="1"/>
  <c r="E58" i="2"/>
  <c r="C73" i="5"/>
  <c r="F20" i="2"/>
  <c r="D11" i="2"/>
  <c r="F111" i="2"/>
  <c r="E111" i="2"/>
  <c r="C110" i="5"/>
  <c r="D111" i="5" s="1"/>
  <c r="D111" i="2"/>
  <c r="E113" i="2"/>
  <c r="C112" i="5"/>
  <c r="D112" i="5" s="1"/>
  <c r="D113" i="2"/>
  <c r="F113" i="2"/>
  <c r="I77" i="1"/>
  <c r="C111" i="2"/>
  <c r="F175" i="2"/>
  <c r="C114" i="5"/>
  <c r="D115" i="2"/>
  <c r="C115" i="2"/>
  <c r="F115" i="2"/>
  <c r="C113" i="2"/>
  <c r="H113" i="2" s="1"/>
  <c r="G29" i="2"/>
  <c r="I29" i="1"/>
  <c r="F179" i="2"/>
  <c r="G251" i="1"/>
  <c r="G252" i="1" s="1"/>
  <c r="G253" i="1" s="1"/>
  <c r="C162" i="2"/>
  <c r="G96" i="2"/>
  <c r="E47" i="2"/>
  <c r="C47" i="2"/>
  <c r="C131" i="5"/>
  <c r="F132" i="2"/>
  <c r="D132" i="2"/>
  <c r="E132" i="2"/>
  <c r="G132" i="2"/>
  <c r="E76" i="2"/>
  <c r="C105" i="2"/>
  <c r="E65" i="2"/>
  <c r="G65" i="2"/>
  <c r="D65" i="2"/>
  <c r="E108" i="2"/>
  <c r="F108" i="2"/>
  <c r="C107" i="5"/>
  <c r="C108" i="2"/>
  <c r="H108" i="2" s="1"/>
  <c r="D108" i="2"/>
  <c r="H124" i="1"/>
  <c r="C124" i="2"/>
  <c r="C115" i="5"/>
  <c r="C99" i="2"/>
  <c r="E99" i="2"/>
  <c r="C98" i="5"/>
  <c r="D99" i="5" s="1"/>
  <c r="H135" i="1"/>
  <c r="C135" i="2" s="1"/>
  <c r="F56" i="2"/>
  <c r="I46" i="1"/>
  <c r="C46" i="2"/>
  <c r="H46" i="2" s="1"/>
  <c r="C55" i="5"/>
  <c r="D165" i="2"/>
  <c r="E97" i="2"/>
  <c r="F97" i="2"/>
  <c r="G38" i="2"/>
  <c r="C18" i="5"/>
  <c r="G19" i="2"/>
  <c r="H156" i="1"/>
  <c r="C156" i="2"/>
  <c r="H180" i="1"/>
  <c r="H226" i="1"/>
  <c r="C226" i="2"/>
  <c r="E48" i="2"/>
  <c r="C36" i="5"/>
  <c r="C18" i="2"/>
  <c r="I18" i="1"/>
  <c r="H155" i="1"/>
  <c r="F155" i="2"/>
  <c r="F243" i="1"/>
  <c r="F237" i="1"/>
  <c r="F234" i="1"/>
  <c r="F233" i="1"/>
  <c r="F181" i="1"/>
  <c r="H181" i="1" s="1"/>
  <c r="F185" i="1"/>
  <c r="F239" i="1"/>
  <c r="F189" i="1"/>
  <c r="F196" i="1"/>
  <c r="H196" i="1"/>
  <c r="F210" i="1"/>
  <c r="H210" i="1" s="1"/>
  <c r="G210" i="2" s="1"/>
  <c r="F242" i="1"/>
  <c r="F236" i="1"/>
  <c r="F195" i="1"/>
  <c r="H195" i="1" s="1"/>
  <c r="F195" i="2" s="1"/>
  <c r="F202" i="1"/>
  <c r="H202" i="1" s="1"/>
  <c r="G202" i="2" s="1"/>
  <c r="F199" i="1"/>
  <c r="H199" i="1" s="1"/>
  <c r="F212" i="1"/>
  <c r="F221" i="1"/>
  <c r="F229" i="1"/>
  <c r="F232" i="1"/>
  <c r="F190" i="1"/>
  <c r="F194" i="1"/>
  <c r="H194" i="1"/>
  <c r="C193" i="5"/>
  <c r="F213" i="1"/>
  <c r="H213" i="1" s="1"/>
  <c r="C212" i="5" s="1"/>
  <c r="F227" i="1"/>
  <c r="H227" i="1" s="1"/>
  <c r="C227" i="2" s="1"/>
  <c r="F241" i="1"/>
  <c r="H241" i="1" s="1"/>
  <c r="F235" i="1"/>
  <c r="F203" i="1"/>
  <c r="F223" i="1"/>
  <c r="F183" i="1"/>
  <c r="F205" i="1"/>
  <c r="F218" i="1"/>
  <c r="F222" i="1"/>
  <c r="F192" i="1"/>
  <c r="F201" i="1"/>
  <c r="F219" i="1"/>
  <c r="F224" i="1"/>
  <c r="H224" i="1" s="1"/>
  <c r="H214" i="1"/>
  <c r="E214" i="2" s="1"/>
  <c r="F240" i="1"/>
  <c r="E56" i="2"/>
  <c r="I48" i="1"/>
  <c r="E10" i="2"/>
  <c r="D10" i="2"/>
  <c r="H10" i="2" s="1"/>
  <c r="I11" i="1"/>
  <c r="C117" i="2"/>
  <c r="H154" i="1"/>
  <c r="C132" i="2"/>
  <c r="H132" i="2" s="1"/>
  <c r="C56" i="5"/>
  <c r="D57" i="2"/>
  <c r="G57" i="2"/>
  <c r="I58" i="1"/>
  <c r="C57" i="2"/>
  <c r="D24" i="2"/>
  <c r="G27" i="2"/>
  <c r="D27" i="2"/>
  <c r="I28" i="1"/>
  <c r="F17" i="2"/>
  <c r="D85" i="2"/>
  <c r="H85" i="2" s="1"/>
  <c r="G85" i="2"/>
  <c r="I56" i="1"/>
  <c r="D56" i="2"/>
  <c r="G56" i="2"/>
  <c r="C72" i="2"/>
  <c r="H72" i="2" s="1"/>
  <c r="E72" i="2"/>
  <c r="F85" i="2"/>
  <c r="I24" i="1"/>
  <c r="E26" i="2"/>
  <c r="G26" i="2"/>
  <c r="C26" i="2"/>
  <c r="H26" i="2" s="1"/>
  <c r="D73" i="2"/>
  <c r="C99" i="5"/>
  <c r="F100" i="2"/>
  <c r="D100" i="2"/>
  <c r="F238" i="1"/>
  <c r="H238" i="1" s="1"/>
  <c r="D83" i="2"/>
  <c r="H83" i="2" s="1"/>
  <c r="G83" i="2"/>
  <c r="C83" i="2"/>
  <c r="E83" i="2"/>
  <c r="F83" i="2"/>
  <c r="C47" i="5"/>
  <c r="G48" i="2"/>
  <c r="D48" i="2"/>
  <c r="C48" i="2"/>
  <c r="C23" i="5"/>
  <c r="G24" i="2"/>
  <c r="C24" i="2"/>
  <c r="H103" i="1"/>
  <c r="H126" i="1"/>
  <c r="C126" i="2" s="1"/>
  <c r="C118" i="2"/>
  <c r="E61" i="2"/>
  <c r="D118" i="2"/>
  <c r="D74" i="5"/>
  <c r="H223" i="1"/>
  <c r="D103" i="2"/>
  <c r="F103" i="2"/>
  <c r="F202" i="2"/>
  <c r="H240" i="1"/>
  <c r="F240" i="2"/>
  <c r="G135" i="2"/>
  <c r="H235" i="1"/>
  <c r="D235" i="2" s="1"/>
  <c r="G226" i="2"/>
  <c r="C214" i="2"/>
  <c r="D214" i="2"/>
  <c r="H233" i="1"/>
  <c r="E233" i="2"/>
  <c r="H219" i="1"/>
  <c r="E219" i="2"/>
  <c r="H190" i="1"/>
  <c r="C188" i="5"/>
  <c r="H218" i="1"/>
  <c r="H229" i="1"/>
  <c r="G229" i="2" s="1"/>
  <c r="H185" i="1"/>
  <c r="E185" i="2" s="1"/>
  <c r="F185" i="2"/>
  <c r="G156" i="2"/>
  <c r="F156" i="2"/>
  <c r="D233" i="2"/>
  <c r="C232" i="5"/>
  <c r="G233" i="2"/>
  <c r="H233" i="2" s="1"/>
  <c r="C233" i="2"/>
  <c r="C218" i="5"/>
  <c r="C202" i="2"/>
  <c r="D202" i="2"/>
  <c r="C201" i="5"/>
  <c r="C203" i="2"/>
  <c r="G203" i="2"/>
  <c r="G223" i="2"/>
  <c r="E189" i="2"/>
  <c r="G199" i="2"/>
  <c r="E199" i="2"/>
  <c r="G185" i="2"/>
  <c r="C185" i="2"/>
  <c r="C184" i="5"/>
  <c r="D185" i="2"/>
  <c r="C229" i="2"/>
  <c r="F233" i="2"/>
  <c r="D251" i="1"/>
  <c r="D252" i="1" s="1"/>
  <c r="D253" i="1" s="1"/>
  <c r="D254" i="1" s="1"/>
  <c r="D255" i="1" s="1"/>
  <c r="D256" i="1" s="1"/>
  <c r="D257" i="1" s="1"/>
  <c r="D258" i="1" s="1"/>
  <c r="D259" i="1" s="1"/>
  <c r="D260" i="1" s="1"/>
  <c r="D261" i="1" s="1"/>
  <c r="D262" i="1" s="1"/>
  <c r="D263" i="1" s="1"/>
  <c r="D264" i="1" s="1"/>
  <c r="D265" i="1" s="1"/>
  <c r="D266" i="1" s="1"/>
  <c r="D267" i="1" s="1"/>
  <c r="D246" i="2"/>
  <c r="C246" i="2"/>
  <c r="G246" i="2"/>
  <c r="J11" i="7"/>
  <c r="J52" i="7"/>
  <c r="J189" i="7"/>
  <c r="K189" i="7" s="1"/>
  <c r="J94" i="7"/>
  <c r="J4" i="7"/>
  <c r="K96" i="7" s="1"/>
  <c r="J12" i="7"/>
  <c r="J21" i="7"/>
  <c r="J117" i="7"/>
  <c r="J164" i="7"/>
  <c r="J41" i="7"/>
  <c r="J47" i="7"/>
  <c r="J71" i="7"/>
  <c r="J88" i="7"/>
  <c r="J130" i="7"/>
  <c r="J140" i="7"/>
  <c r="K140" i="7" s="1"/>
  <c r="I109" i="7"/>
  <c r="J163" i="7"/>
  <c r="K163" i="7" s="1"/>
  <c r="J137" i="7"/>
  <c r="J165" i="7"/>
  <c r="J156" i="7"/>
  <c r="K156" i="7" s="1"/>
  <c r="I189" i="7"/>
  <c r="J99" i="7"/>
  <c r="J120" i="7"/>
  <c r="J18" i="7"/>
  <c r="J50" i="7"/>
  <c r="J73" i="7"/>
  <c r="K73" i="7" s="1"/>
  <c r="I114" i="7"/>
  <c r="J114" i="7" s="1"/>
  <c r="K114" i="7" s="1"/>
  <c r="I136" i="7"/>
  <c r="J136" i="7" s="1"/>
  <c r="K53" i="7"/>
  <c r="K113" i="7"/>
  <c r="J135" i="7"/>
  <c r="J138" i="7"/>
  <c r="J160" i="7"/>
  <c r="J26" i="7"/>
  <c r="J111" i="7"/>
  <c r="J118" i="7"/>
  <c r="K118" i="7" s="1"/>
  <c r="J25" i="7"/>
  <c r="J49" i="7"/>
  <c r="J69" i="7"/>
  <c r="J155" i="7"/>
  <c r="I36" i="7"/>
  <c r="J36" i="7" s="1"/>
  <c r="J34" i="7"/>
  <c r="J115" i="7"/>
  <c r="J139" i="7"/>
  <c r="J33" i="7"/>
  <c r="J72" i="7"/>
  <c r="J131" i="7"/>
  <c r="C196" i="2"/>
  <c r="G195" i="2"/>
  <c r="E195" i="2"/>
  <c r="C194" i="5"/>
  <c r="D194" i="5" s="1"/>
  <c r="D101" i="2"/>
  <c r="E101" i="2"/>
  <c r="C100" i="5"/>
  <c r="D100" i="5" s="1"/>
  <c r="F101" i="2"/>
  <c r="H242" i="1"/>
  <c r="C242" i="2" s="1"/>
  <c r="H112" i="2"/>
  <c r="C228" i="2"/>
  <c r="G228" i="2"/>
  <c r="C227" i="5"/>
  <c r="H243" i="1"/>
  <c r="G235" i="2"/>
  <c r="C234" i="5"/>
  <c r="H236" i="1"/>
  <c r="F236" i="2" s="1"/>
  <c r="H169" i="1"/>
  <c r="E169" i="2" s="1"/>
  <c r="C241" i="2"/>
  <c r="C240" i="5"/>
  <c r="G72" i="2"/>
  <c r="D72" i="2"/>
  <c r="C71" i="5"/>
  <c r="D71" i="5"/>
  <c r="E207" i="2"/>
  <c r="H207" i="2" s="1"/>
  <c r="C206" i="5"/>
  <c r="F207" i="2"/>
  <c r="G207" i="2"/>
  <c r="D207" i="2"/>
  <c r="H170" i="1"/>
  <c r="E170" i="2" s="1"/>
  <c r="F199" i="2"/>
  <c r="C198" i="5"/>
  <c r="C199" i="2"/>
  <c r="D199" i="2"/>
  <c r="H199" i="2" s="1"/>
  <c r="H205" i="1"/>
  <c r="E205" i="2"/>
  <c r="H215" i="1"/>
  <c r="F215" i="2"/>
  <c r="E135" i="2"/>
  <c r="F135" i="2"/>
  <c r="C134" i="5"/>
  <c r="C207" i="2"/>
  <c r="E220" i="2"/>
  <c r="D220" i="2"/>
  <c r="G220" i="2"/>
  <c r="C220" i="2"/>
  <c r="D218" i="2"/>
  <c r="E218" i="2"/>
  <c r="D228" i="2"/>
  <c r="F220" i="2"/>
  <c r="C235" i="2"/>
  <c r="E137" i="1"/>
  <c r="H129" i="1"/>
  <c r="E129" i="2" s="1"/>
  <c r="G214" i="2"/>
  <c r="C213" i="5"/>
  <c r="C187" i="5"/>
  <c r="D188" i="5" s="1"/>
  <c r="C188" i="2"/>
  <c r="H188" i="2" s="1"/>
  <c r="F188" i="2"/>
  <c r="D188" i="2"/>
  <c r="G188" i="2"/>
  <c r="F228" i="2"/>
  <c r="F235" i="2"/>
  <c r="H176" i="1"/>
  <c r="H200" i="1"/>
  <c r="G200" i="2" s="1"/>
  <c r="C200" i="2"/>
  <c r="C240" i="2"/>
  <c r="D156" i="2"/>
  <c r="E156" i="2"/>
  <c r="C155" i="5"/>
  <c r="D155" i="5" s="1"/>
  <c r="D76" i="5"/>
  <c r="H172" i="1"/>
  <c r="G155" i="2"/>
  <c r="D155" i="2"/>
  <c r="C154" i="5"/>
  <c r="D135" i="2"/>
  <c r="H135" i="2" s="1"/>
  <c r="C237" i="5"/>
  <c r="D238" i="2"/>
  <c r="F238" i="2"/>
  <c r="H237" i="1"/>
  <c r="C237" i="2" s="1"/>
  <c r="F237" i="2"/>
  <c r="C180" i="2"/>
  <c r="G180" i="2"/>
  <c r="H141" i="1"/>
  <c r="D141" i="2" s="1"/>
  <c r="H157" i="1"/>
  <c r="E157" i="2" s="1"/>
  <c r="H146" i="1"/>
  <c r="F146" i="2" s="1"/>
  <c r="E64" i="2"/>
  <c r="F64" i="2"/>
  <c r="D64" i="2"/>
  <c r="C64" i="2"/>
  <c r="G64" i="2"/>
  <c r="H64" i="2" s="1"/>
  <c r="H171" i="1"/>
  <c r="C171" i="2" s="1"/>
  <c r="C209" i="2"/>
  <c r="E228" i="2"/>
  <c r="C202" i="5"/>
  <c r="D203" i="2"/>
  <c r="I90" i="1"/>
  <c r="D77" i="2"/>
  <c r="H77" i="2" s="1"/>
  <c r="G77" i="2"/>
  <c r="F77" i="2"/>
  <c r="I89" i="1"/>
  <c r="E77" i="2"/>
  <c r="E36" i="2"/>
  <c r="I36" i="1"/>
  <c r="D36" i="2"/>
  <c r="G36" i="2"/>
  <c r="F36" i="2"/>
  <c r="C35" i="5"/>
  <c r="H145" i="1"/>
  <c r="F65" i="2"/>
  <c r="C64" i="5"/>
  <c r="D64" i="5"/>
  <c r="C65" i="2"/>
  <c r="G166" i="2"/>
  <c r="E166" i="2"/>
  <c r="C166" i="2"/>
  <c r="E222" i="2"/>
  <c r="H222" i="1"/>
  <c r="C221" i="5" s="1"/>
  <c r="H239" i="1"/>
  <c r="D72" i="5"/>
  <c r="G94" i="2"/>
  <c r="E94" i="2"/>
  <c r="D94" i="2"/>
  <c r="F94" i="2"/>
  <c r="C43" i="2"/>
  <c r="E43" i="2"/>
  <c r="G43" i="2"/>
  <c r="I43" i="1"/>
  <c r="D43" i="2"/>
  <c r="F43" i="2"/>
  <c r="I35" i="1"/>
  <c r="D35" i="2"/>
  <c r="C35" i="2"/>
  <c r="H35" i="2"/>
  <c r="C34" i="5"/>
  <c r="D35" i="5" s="1"/>
  <c r="E139" i="2"/>
  <c r="D144" i="2"/>
  <c r="G144" i="2"/>
  <c r="C189" i="2"/>
  <c r="C103" i="2"/>
  <c r="G103" i="2"/>
  <c r="E103" i="2"/>
  <c r="C102" i="5"/>
  <c r="I37" i="1"/>
  <c r="H93" i="1"/>
  <c r="C93" i="2"/>
  <c r="F84" i="2"/>
  <c r="E84" i="2"/>
  <c r="I96" i="1"/>
  <c r="D84" i="2"/>
  <c r="I97" i="1"/>
  <c r="C84" i="2"/>
  <c r="C83" i="5"/>
  <c r="G84" i="2"/>
  <c r="C49" i="5"/>
  <c r="D50" i="5" s="1"/>
  <c r="C184" i="2"/>
  <c r="H136" i="1"/>
  <c r="F194" i="2"/>
  <c r="D189" i="2"/>
  <c r="H104" i="1"/>
  <c r="F104" i="2" s="1"/>
  <c r="C36" i="2"/>
  <c r="G151" i="2"/>
  <c r="F151" i="2"/>
  <c r="H151" i="2" s="1"/>
  <c r="C150" i="5"/>
  <c r="C151" i="2"/>
  <c r="D151" i="2"/>
  <c r="C167" i="2"/>
  <c r="D167" i="2"/>
  <c r="G167" i="2"/>
  <c r="G189" i="2"/>
  <c r="D124" i="2"/>
  <c r="F124" i="2"/>
  <c r="C123" i="5"/>
  <c r="C91" i="2"/>
  <c r="E91" i="2"/>
  <c r="G91" i="2"/>
  <c r="C90" i="5"/>
  <c r="I50" i="1"/>
  <c r="D50" i="2"/>
  <c r="G50" i="2"/>
  <c r="E50" i="2"/>
  <c r="I51" i="1"/>
  <c r="H110" i="1"/>
  <c r="D110" i="2" s="1"/>
  <c r="C110" i="2"/>
  <c r="H140" i="1"/>
  <c r="D140" i="2" s="1"/>
  <c r="C149" i="1"/>
  <c r="C161" i="5"/>
  <c r="G162" i="2"/>
  <c r="F162" i="2"/>
  <c r="D162" i="2"/>
  <c r="H162" i="2" s="1"/>
  <c r="E194" i="2"/>
  <c r="D226" i="2"/>
  <c r="F91" i="2"/>
  <c r="F50" i="2"/>
  <c r="F99" i="2"/>
  <c r="H99" i="2" s="1"/>
  <c r="C89" i="2"/>
  <c r="D54" i="2"/>
  <c r="C54" i="2"/>
  <c r="D160" i="2"/>
  <c r="C159" i="5"/>
  <c r="F160" i="2"/>
  <c r="I10" i="1"/>
  <c r="G10" i="2"/>
  <c r="F10" i="2"/>
  <c r="G123" i="2"/>
  <c r="F123" i="2"/>
  <c r="D123" i="2"/>
  <c r="I88" i="1"/>
  <c r="D88" i="2"/>
  <c r="G88" i="2"/>
  <c r="F88" i="2"/>
  <c r="C190" i="2"/>
  <c r="F189" i="2"/>
  <c r="E160" i="2"/>
  <c r="E120" i="2"/>
  <c r="F120" i="2"/>
  <c r="G120" i="2"/>
  <c r="H130" i="1"/>
  <c r="E130" i="2" s="1"/>
  <c r="D223" i="2"/>
  <c r="E223" i="2"/>
  <c r="C10" i="2"/>
  <c r="C122" i="5"/>
  <c r="D122" i="5"/>
  <c r="D38" i="5"/>
  <c r="C22" i="5"/>
  <c r="G23" i="2"/>
  <c r="I23" i="1"/>
  <c r="F23" i="2"/>
  <c r="E23" i="2"/>
  <c r="E38" i="2"/>
  <c r="H38" i="2" s="1"/>
  <c r="D38" i="2"/>
  <c r="C37" i="5"/>
  <c r="I38" i="1"/>
  <c r="I39" i="1"/>
  <c r="F38" i="2"/>
  <c r="D105" i="2"/>
  <c r="C104" i="5"/>
  <c r="E105" i="2"/>
  <c r="G105" i="2"/>
  <c r="F105" i="2"/>
  <c r="H147" i="1"/>
  <c r="E152" i="2"/>
  <c r="H128" i="1"/>
  <c r="C127" i="5" s="1"/>
  <c r="F159" i="2"/>
  <c r="G159" i="2"/>
  <c r="H28" i="2"/>
  <c r="C52" i="2"/>
  <c r="E52" i="2"/>
  <c r="F52" i="2"/>
  <c r="G52" i="2"/>
  <c r="D37" i="2"/>
  <c r="F37" i="2"/>
  <c r="E37" i="2"/>
  <c r="G37" i="2"/>
  <c r="C37" i="2"/>
  <c r="H37" i="2" s="1"/>
  <c r="C182" i="2"/>
  <c r="G182" i="2"/>
  <c r="C55" i="2"/>
  <c r="H55" i="2" s="1"/>
  <c r="C54" i="5"/>
  <c r="I55" i="1"/>
  <c r="C32" i="5"/>
  <c r="C33" i="2"/>
  <c r="D33" i="2"/>
  <c r="H138" i="1"/>
  <c r="F142" i="2"/>
  <c r="H142" i="2" s="1"/>
  <c r="G142" i="2"/>
  <c r="E142" i="2"/>
  <c r="C141" i="5"/>
  <c r="C68" i="2"/>
  <c r="E202" i="2"/>
  <c r="H202" i="2"/>
  <c r="C79" i="5"/>
  <c r="I85" i="1"/>
  <c r="F33" i="2"/>
  <c r="H33" i="2" s="1"/>
  <c r="D55" i="2"/>
  <c r="I63" i="1"/>
  <c r="D63" i="2"/>
  <c r="F63" i="2"/>
  <c r="C101" i="2"/>
  <c r="C117" i="5"/>
  <c r="F118" i="2"/>
  <c r="H118" i="2"/>
  <c r="H127" i="1"/>
  <c r="C126" i="5" s="1"/>
  <c r="C150" i="1"/>
  <c r="H150" i="1" s="1"/>
  <c r="F150" i="2" s="1"/>
  <c r="C197" i="2"/>
  <c r="H204" i="1"/>
  <c r="D97" i="2"/>
  <c r="G122" i="2"/>
  <c r="E122" i="2"/>
  <c r="D122" i="2"/>
  <c r="H122" i="2"/>
  <c r="C116" i="5"/>
  <c r="D116" i="5" s="1"/>
  <c r="E117" i="2"/>
  <c r="D80" i="2"/>
  <c r="D142" i="2"/>
  <c r="F55" i="2"/>
  <c r="E204" i="2"/>
  <c r="I92" i="1"/>
  <c r="D78" i="5"/>
  <c r="D77" i="5"/>
  <c r="F121" i="2"/>
  <c r="E29" i="2"/>
  <c r="D29" i="2"/>
  <c r="F29" i="2"/>
  <c r="E11" i="2"/>
  <c r="C11" i="2"/>
  <c r="C10" i="5"/>
  <c r="F11" i="2"/>
  <c r="G197" i="2"/>
  <c r="D197" i="2"/>
  <c r="C179" i="2"/>
  <c r="C178" i="5"/>
  <c r="D99" i="2"/>
  <c r="C91" i="5"/>
  <c r="C61" i="5"/>
  <c r="D62" i="5" s="1"/>
  <c r="G62" i="2"/>
  <c r="C52" i="5"/>
  <c r="I53" i="1"/>
  <c r="F53" i="2"/>
  <c r="H139" i="1"/>
  <c r="C152" i="5"/>
  <c r="E153" i="2"/>
  <c r="F166" i="2"/>
  <c r="F170" i="2"/>
  <c r="H178" i="1"/>
  <c r="C208" i="2"/>
  <c r="H208" i="2" s="1"/>
  <c r="H231" i="1"/>
  <c r="C60" i="5"/>
  <c r="G61" i="2"/>
  <c r="G119" i="2"/>
  <c r="E151" i="2"/>
  <c r="F69" i="2"/>
  <c r="E69" i="2"/>
  <c r="D69" i="2"/>
  <c r="H198" i="1"/>
  <c r="C198" i="2" s="1"/>
  <c r="I20" i="1"/>
  <c r="F19" i="2"/>
  <c r="H19" i="2"/>
  <c r="C120" i="2"/>
  <c r="H120" i="2"/>
  <c r="G70" i="2"/>
  <c r="C69" i="5"/>
  <c r="F70" i="2"/>
  <c r="E70" i="2"/>
  <c r="E77" i="5"/>
  <c r="H98" i="1"/>
  <c r="E59" i="2"/>
  <c r="F59" i="2"/>
  <c r="I16" i="1"/>
  <c r="I15" i="1"/>
  <c r="E115" i="2"/>
  <c r="G115" i="2"/>
  <c r="C121" i="2"/>
  <c r="H121" i="2" s="1"/>
  <c r="E82" i="2"/>
  <c r="H82" i="2" s="1"/>
  <c r="C81" i="5"/>
  <c r="D82" i="2"/>
  <c r="C44" i="5"/>
  <c r="F45" i="2"/>
  <c r="E22" i="2"/>
  <c r="C66" i="2"/>
  <c r="I42" i="1"/>
  <c r="E66" i="2"/>
  <c r="F42" i="2"/>
  <c r="G78" i="2"/>
  <c r="G66" i="2"/>
  <c r="D42" i="2"/>
  <c r="G22" i="2"/>
  <c r="F245" i="1"/>
  <c r="D32" i="2"/>
  <c r="K115" i="7"/>
  <c r="K34" i="7"/>
  <c r="K11" i="7"/>
  <c r="K110" i="7"/>
  <c r="K23" i="7"/>
  <c r="K13" i="7"/>
  <c r="K155" i="7"/>
  <c r="K57" i="7"/>
  <c r="K70" i="7"/>
  <c r="K71" i="7"/>
  <c r="K188" i="7"/>
  <c r="K25" i="7"/>
  <c r="K165" i="7"/>
  <c r="K89" i="7"/>
  <c r="K76" i="7"/>
  <c r="K183" i="7"/>
  <c r="K41" i="7"/>
  <c r="K48" i="7"/>
  <c r="K94" i="7"/>
  <c r="K27" i="7"/>
  <c r="K90" i="7"/>
  <c r="K160" i="7"/>
  <c r="K8" i="7"/>
  <c r="K68" i="7"/>
  <c r="K56" i="7"/>
  <c r="K164" i="7"/>
  <c r="K5" i="7"/>
  <c r="K7" i="7"/>
  <c r="K138" i="7"/>
  <c r="K135" i="7"/>
  <c r="K52" i="7"/>
  <c r="D104" i="2"/>
  <c r="C103" i="5"/>
  <c r="C104" i="2"/>
  <c r="H104" i="2" s="1"/>
  <c r="G104" i="2"/>
  <c r="C210" i="2"/>
  <c r="C209" i="5"/>
  <c r="D209" i="5" s="1"/>
  <c r="D208" i="2"/>
  <c r="G208" i="2"/>
  <c r="F208" i="2"/>
  <c r="E127" i="2"/>
  <c r="D127" i="2"/>
  <c r="G127" i="2"/>
  <c r="F127" i="2"/>
  <c r="C178" i="2"/>
  <c r="F178" i="2"/>
  <c r="G178" i="2"/>
  <c r="E178" i="2"/>
  <c r="E110" i="2"/>
  <c r="G110" i="2"/>
  <c r="H110" i="2" s="1"/>
  <c r="F110" i="2"/>
  <c r="C109" i="5"/>
  <c r="H171" i="2"/>
  <c r="G171" i="2"/>
  <c r="D171" i="2"/>
  <c r="C170" i="5"/>
  <c r="D170" i="5" s="1"/>
  <c r="F141" i="2"/>
  <c r="C140" i="5"/>
  <c r="H115" i="2"/>
  <c r="H101" i="2"/>
  <c r="C146" i="5"/>
  <c r="D147" i="2"/>
  <c r="C147" i="2"/>
  <c r="G147" i="2"/>
  <c r="E147" i="2"/>
  <c r="D209" i="2"/>
  <c r="G209" i="2"/>
  <c r="C208" i="5"/>
  <c r="F209" i="2"/>
  <c r="E163" i="2"/>
  <c r="D163" i="2"/>
  <c r="G163" i="2"/>
  <c r="F163" i="2"/>
  <c r="C162" i="5"/>
  <c r="D202" i="5"/>
  <c r="E171" i="2"/>
  <c r="E141" i="2"/>
  <c r="D176" i="2"/>
  <c r="F176" i="2"/>
  <c r="C175" i="5"/>
  <c r="G176" i="2"/>
  <c r="D129" i="2"/>
  <c r="C128" i="5"/>
  <c r="D128" i="5" s="1"/>
  <c r="F129" i="2"/>
  <c r="G129" i="2"/>
  <c r="G243" i="2"/>
  <c r="C242" i="5"/>
  <c r="C243" i="2"/>
  <c r="C137" i="5"/>
  <c r="D137" i="5" s="1"/>
  <c r="F138" i="2"/>
  <c r="D138" i="2"/>
  <c r="D237" i="5"/>
  <c r="H11" i="2"/>
  <c r="F172" i="2"/>
  <c r="E172" i="2"/>
  <c r="G172" i="2"/>
  <c r="D172" i="2"/>
  <c r="D213" i="2"/>
  <c r="G213" i="2"/>
  <c r="E213" i="2"/>
  <c r="C213" i="2"/>
  <c r="F205" i="2"/>
  <c r="G205" i="2"/>
  <c r="C204" i="5"/>
  <c r="C205" i="2"/>
  <c r="D205" i="2"/>
  <c r="C241" i="5"/>
  <c r="D242" i="5" s="1"/>
  <c r="D241" i="5"/>
  <c r="E242" i="2"/>
  <c r="G242" i="2"/>
  <c r="D242" i="2"/>
  <c r="G157" i="2"/>
  <c r="D157" i="2"/>
  <c r="H65" i="2"/>
  <c r="G128" i="2"/>
  <c r="D128" i="2"/>
  <c r="F128" i="2"/>
  <c r="E128" i="2"/>
  <c r="H128" i="2" s="1"/>
  <c r="H84" i="2"/>
  <c r="C199" i="5"/>
  <c r="D199" i="5" s="1"/>
  <c r="F200" i="2"/>
  <c r="D200" i="2"/>
  <c r="E200" i="2"/>
  <c r="D237" i="2"/>
  <c r="H237" i="2" s="1"/>
  <c r="G237" i="2"/>
  <c r="C236" i="5"/>
  <c r="E237" i="2"/>
  <c r="D49" i="5"/>
  <c r="C127" i="2"/>
  <c r="H127" i="2" s="1"/>
  <c r="D37" i="5"/>
  <c r="D227" i="2"/>
  <c r="C226" i="5"/>
  <c r="D227" i="5"/>
  <c r="E227" i="2"/>
  <c r="H227" i="2" s="1"/>
  <c r="G227" i="2"/>
  <c r="F93" i="2"/>
  <c r="D93" i="2"/>
  <c r="G93" i="2"/>
  <c r="C92" i="5"/>
  <c r="E93" i="2"/>
  <c r="H93" i="2"/>
  <c r="F177" i="2"/>
  <c r="C177" i="2"/>
  <c r="G177" i="2"/>
  <c r="C176" i="5"/>
  <c r="F140" i="2"/>
  <c r="E140" i="2"/>
  <c r="G140" i="2"/>
  <c r="C151" i="5"/>
  <c r="D152" i="5" s="1"/>
  <c r="F152" i="2"/>
  <c r="D152" i="2"/>
  <c r="H152" i="2" s="1"/>
  <c r="G152" i="2"/>
  <c r="D123" i="5"/>
  <c r="D215" i="2"/>
  <c r="C214" i="5"/>
  <c r="D214" i="5" s="1"/>
  <c r="G215" i="2"/>
  <c r="C215" i="2"/>
  <c r="E215" i="2"/>
  <c r="E206" i="2"/>
  <c r="F206" i="2"/>
  <c r="D206" i="2"/>
  <c r="C205" i="5"/>
  <c r="D205" i="5" s="1"/>
  <c r="H63" i="2"/>
  <c r="C136" i="2"/>
  <c r="C135" i="5"/>
  <c r="D136" i="2"/>
  <c r="F147" i="2"/>
  <c r="G170" i="2"/>
  <c r="D170" i="2"/>
  <c r="C170" i="2"/>
  <c r="H170" i="2" s="1"/>
  <c r="C169" i="5"/>
  <c r="C169" i="2"/>
  <c r="G169" i="2"/>
  <c r="F171" i="2"/>
  <c r="D139" i="2"/>
  <c r="G139" i="2"/>
  <c r="H139" i="2" s="1"/>
  <c r="C138" i="5"/>
  <c r="F139" i="2"/>
  <c r="C139" i="2"/>
  <c r="E104" i="2"/>
  <c r="F157" i="2"/>
  <c r="F227" i="2"/>
  <c r="D44" i="5"/>
  <c r="F98" i="2"/>
  <c r="H245" i="1"/>
  <c r="C244" i="5" s="1"/>
  <c r="F245" i="2"/>
  <c r="C222" i="2"/>
  <c r="G222" i="2"/>
  <c r="D222" i="2"/>
  <c r="H220" i="2"/>
  <c r="E177" i="2"/>
  <c r="C145" i="5"/>
  <c r="D146" i="5" s="1"/>
  <c r="G146" i="2"/>
  <c r="H146" i="2" s="1"/>
  <c r="C146" i="2"/>
  <c r="E146" i="2"/>
  <c r="D146" i="2"/>
  <c r="D32" i="5"/>
  <c r="D33" i="5"/>
  <c r="E89" i="2"/>
  <c r="G89" i="2"/>
  <c r="F89" i="2"/>
  <c r="D89" i="2"/>
  <c r="H89" i="2" s="1"/>
  <c r="D141" i="5"/>
  <c r="E208" i="2"/>
  <c r="C183" i="5"/>
  <c r="D184" i="2"/>
  <c r="G184" i="2"/>
  <c r="F184" i="2"/>
  <c r="E184" i="2"/>
  <c r="C144" i="5"/>
  <c r="D145" i="5" s="1"/>
  <c r="C145" i="2"/>
  <c r="G145" i="2"/>
  <c r="F169" i="2"/>
  <c r="H228" i="2"/>
  <c r="H149" i="1"/>
  <c r="G149" i="2" s="1"/>
  <c r="C128" i="2"/>
  <c r="H137" i="1"/>
  <c r="G137" i="2" s="1"/>
  <c r="E137" i="2"/>
  <c r="D82" i="5"/>
  <c r="D198" i="2"/>
  <c r="G198" i="2"/>
  <c r="C197" i="5"/>
  <c r="E198" i="2"/>
  <c r="H198" i="2" s="1"/>
  <c r="F198" i="2"/>
  <c r="E231" i="2"/>
  <c r="G130" i="2"/>
  <c r="F130" i="2"/>
  <c r="C129" i="5"/>
  <c r="C130" i="2"/>
  <c r="H91" i="2"/>
  <c r="G236" i="2"/>
  <c r="C236" i="2"/>
  <c r="H236" i="2" s="1"/>
  <c r="E236" i="2"/>
  <c r="D236" i="2"/>
  <c r="C235" i="5"/>
  <c r="D235" i="5" s="1"/>
  <c r="H147" i="2"/>
  <c r="D162" i="5"/>
  <c r="D88" i="5"/>
  <c r="D103" i="5"/>
  <c r="D110" i="5"/>
  <c r="D93" i="5"/>
  <c r="D92" i="5"/>
  <c r="D150" i="2"/>
  <c r="D198" i="5"/>
  <c r="D137" i="2"/>
  <c r="C136" i="5"/>
  <c r="D136" i="5" s="1"/>
  <c r="F137" i="2"/>
  <c r="C137" i="2"/>
  <c r="H137" i="2"/>
  <c r="D184" i="5"/>
  <c r="D236" i="5"/>
  <c r="C243" i="5"/>
  <c r="D243" i="5" s="1"/>
  <c r="C244" i="2"/>
  <c r="E244" i="2"/>
  <c r="F244" i="2"/>
  <c r="J185" i="7" l="1"/>
  <c r="K185" i="7" s="1"/>
  <c r="C245" i="2"/>
  <c r="D245" i="2"/>
  <c r="G245" i="2"/>
  <c r="E239" i="2"/>
  <c r="F239" i="2"/>
  <c r="I112" i="7"/>
  <c r="J112" i="7" s="1"/>
  <c r="K112" i="7" s="1"/>
  <c r="E98" i="2"/>
  <c r="G98" i="2"/>
  <c r="C97" i="5"/>
  <c r="C98" i="2"/>
  <c r="H98" i="2" s="1"/>
  <c r="D98" i="2"/>
  <c r="F204" i="2"/>
  <c r="D204" i="2"/>
  <c r="C203" i="5"/>
  <c r="C204" i="2"/>
  <c r="G204" i="2"/>
  <c r="D79" i="5"/>
  <c r="G254" i="1"/>
  <c r="H232" i="1"/>
  <c r="G86" i="2"/>
  <c r="I98" i="1"/>
  <c r="F86" i="2"/>
  <c r="D86" i="2"/>
  <c r="E86" i="2"/>
  <c r="C85" i="5"/>
  <c r="D85" i="5" s="1"/>
  <c r="D11" i="5"/>
  <c r="D10" i="5"/>
  <c r="C86" i="2"/>
  <c r="H86" i="2" s="1"/>
  <c r="C150" i="2"/>
  <c r="C238" i="5"/>
  <c r="H205" i="2"/>
  <c r="E74" i="5"/>
  <c r="D70" i="5"/>
  <c r="D69" i="5"/>
  <c r="D60" i="5"/>
  <c r="H103" i="2"/>
  <c r="F183" i="2"/>
  <c r="H183" i="1"/>
  <c r="H234" i="1"/>
  <c r="F234" i="2"/>
  <c r="G150" i="2"/>
  <c r="C149" i="5"/>
  <c r="E150" i="2"/>
  <c r="H166" i="2"/>
  <c r="H50" i="2"/>
  <c r="G102" i="2"/>
  <c r="C101" i="5"/>
  <c r="D102" i="2"/>
  <c r="F102" i="2"/>
  <c r="E102" i="2"/>
  <c r="C102" i="2"/>
  <c r="H143" i="2"/>
  <c r="D149" i="2"/>
  <c r="E14" i="5"/>
  <c r="G239" i="2"/>
  <c r="E190" i="2"/>
  <c r="D190" i="2"/>
  <c r="G190" i="2"/>
  <c r="C189" i="5"/>
  <c r="H242" i="2"/>
  <c r="D244" i="5"/>
  <c r="D208" i="5"/>
  <c r="D239" i="2"/>
  <c r="C254" i="1"/>
  <c r="D61" i="5"/>
  <c r="D91" i="5"/>
  <c r="D83" i="5"/>
  <c r="D84" i="5"/>
  <c r="H189" i="2"/>
  <c r="H190" i="2"/>
  <c r="H123" i="2"/>
  <c r="E209" i="5"/>
  <c r="H221" i="1"/>
  <c r="F221" i="2" s="1"/>
  <c r="H215" i="2"/>
  <c r="D150" i="5"/>
  <c r="H61" i="2"/>
  <c r="C148" i="5"/>
  <c r="F149" i="2"/>
  <c r="C149" i="2"/>
  <c r="D176" i="5"/>
  <c r="H180" i="2"/>
  <c r="D210" i="2"/>
  <c r="H210" i="2" s="1"/>
  <c r="E210" i="2"/>
  <c r="E65" i="5"/>
  <c r="D138" i="5"/>
  <c r="H146" i="5"/>
  <c r="D135" i="5"/>
  <c r="C224" i="2"/>
  <c r="E224" i="2"/>
  <c r="C223" i="5"/>
  <c r="D223" i="5" s="1"/>
  <c r="D224" i="2"/>
  <c r="G224" i="2"/>
  <c r="G231" i="2"/>
  <c r="C231" i="2"/>
  <c r="H43" i="2"/>
  <c r="K131" i="7"/>
  <c r="K18" i="7"/>
  <c r="K88" i="7"/>
  <c r="C219" i="2"/>
  <c r="G219" i="2"/>
  <c r="D219" i="2"/>
  <c r="D95" i="2"/>
  <c r="C94" i="5"/>
  <c r="D95" i="5" s="1"/>
  <c r="F95" i="2"/>
  <c r="E95" i="2"/>
  <c r="I51" i="7"/>
  <c r="J51" i="7"/>
  <c r="K51" i="7" s="1"/>
  <c r="H191" i="1"/>
  <c r="C191" i="2"/>
  <c r="D219" i="5"/>
  <c r="D127" i="5"/>
  <c r="H200" i="2"/>
  <c r="K72" i="7"/>
  <c r="F186" i="2"/>
  <c r="H186" i="1"/>
  <c r="C95" i="2"/>
  <c r="D151" i="5"/>
  <c r="H177" i="2"/>
  <c r="H59" i="2"/>
  <c r="D178" i="2"/>
  <c r="H178" i="2" s="1"/>
  <c r="C177" i="5"/>
  <c r="H94" i="2"/>
  <c r="K33" i="7"/>
  <c r="D182" i="2"/>
  <c r="H182" i="2" s="1"/>
  <c r="C181" i="5"/>
  <c r="D181" i="5" s="1"/>
  <c r="I80" i="1"/>
  <c r="E116" i="2"/>
  <c r="D116" i="2"/>
  <c r="F116" i="2"/>
  <c r="G116" i="2"/>
  <c r="H163" i="2"/>
  <c r="H69" i="2"/>
  <c r="C176" i="2"/>
  <c r="H176" i="2" s="1"/>
  <c r="E176" i="2"/>
  <c r="D126" i="2"/>
  <c r="H126" i="2" s="1"/>
  <c r="E126" i="2"/>
  <c r="F126" i="2"/>
  <c r="G126" i="2"/>
  <c r="C125" i="5"/>
  <c r="D115" i="5"/>
  <c r="I32" i="7"/>
  <c r="J32" i="7"/>
  <c r="K32" i="7" s="1"/>
  <c r="C157" i="2"/>
  <c r="H157" i="2" s="1"/>
  <c r="D169" i="2"/>
  <c r="H169" i="2" s="1"/>
  <c r="C168" i="5"/>
  <c r="H214" i="2"/>
  <c r="F210" i="2"/>
  <c r="D56" i="5"/>
  <c r="D55" i="5"/>
  <c r="E187" i="2"/>
  <c r="D187" i="2"/>
  <c r="C187" i="2"/>
  <c r="C186" i="5"/>
  <c r="H211" i="1"/>
  <c r="F211" i="2" s="1"/>
  <c r="F143" i="2"/>
  <c r="E143" i="2"/>
  <c r="C142" i="5"/>
  <c r="C153" i="2"/>
  <c r="G153" i="2"/>
  <c r="F153" i="2"/>
  <c r="D153" i="2"/>
  <c r="G68" i="2"/>
  <c r="C67" i="5"/>
  <c r="F68" i="2"/>
  <c r="D68" i="2"/>
  <c r="E68" i="2"/>
  <c r="D178" i="5"/>
  <c r="D218" i="5"/>
  <c r="F224" i="2"/>
  <c r="C157" i="5"/>
  <c r="G158" i="2"/>
  <c r="E158" i="2"/>
  <c r="F187" i="2"/>
  <c r="F217" i="2"/>
  <c r="H217" i="1"/>
  <c r="K10" i="7"/>
  <c r="H107" i="1"/>
  <c r="C107" i="2"/>
  <c r="E38" i="5"/>
  <c r="D36" i="5"/>
  <c r="D204" i="5"/>
  <c r="C138" i="2"/>
  <c r="E138" i="2"/>
  <c r="G138" i="2"/>
  <c r="G143" i="2"/>
  <c r="F145" i="2"/>
  <c r="D145" i="2"/>
  <c r="E145" i="2"/>
  <c r="K36" i="7"/>
  <c r="K99" i="7"/>
  <c r="F219" i="2"/>
  <c r="G194" i="2"/>
  <c r="D194" i="2"/>
  <c r="C194" i="2"/>
  <c r="F196" i="2"/>
  <c r="H193" i="1"/>
  <c r="K15" i="7"/>
  <c r="H134" i="1"/>
  <c r="D130" i="2"/>
  <c r="D231" i="2"/>
  <c r="D34" i="5"/>
  <c r="C156" i="5"/>
  <c r="C129" i="2"/>
  <c r="H129" i="2" s="1"/>
  <c r="G141" i="2"/>
  <c r="K190" i="7"/>
  <c r="K54" i="7"/>
  <c r="G187" i="2"/>
  <c r="D104" i="5"/>
  <c r="D23" i="5"/>
  <c r="D143" i="2"/>
  <c r="F136" i="2"/>
  <c r="G136" i="2"/>
  <c r="E136" i="2"/>
  <c r="H136" i="2" s="1"/>
  <c r="D158" i="2"/>
  <c r="F231" i="2"/>
  <c r="K21" i="7"/>
  <c r="C217" i="5"/>
  <c r="C218" i="2"/>
  <c r="G218" i="2"/>
  <c r="F181" i="2"/>
  <c r="C228" i="5"/>
  <c r="E229" i="2"/>
  <c r="D229" i="2"/>
  <c r="H229" i="2" s="1"/>
  <c r="F229" i="2"/>
  <c r="D196" i="2"/>
  <c r="E196" i="2"/>
  <c r="G196" i="2"/>
  <c r="C195" i="5"/>
  <c r="H130" i="2"/>
  <c r="C230" i="5"/>
  <c r="E245" i="2"/>
  <c r="H245" i="2" s="1"/>
  <c r="D129" i="5"/>
  <c r="K161" i="7"/>
  <c r="K184" i="7"/>
  <c r="H184" i="2"/>
  <c r="F213" i="2"/>
  <c r="H213" i="2" s="1"/>
  <c r="E243" i="2"/>
  <c r="D243" i="2"/>
  <c r="H243" i="2" s="1"/>
  <c r="K12" i="7"/>
  <c r="H185" i="2"/>
  <c r="H48" i="2"/>
  <c r="F192" i="2"/>
  <c r="H192" i="1"/>
  <c r="F190" i="2"/>
  <c r="H111" i="2"/>
  <c r="F174" i="2"/>
  <c r="E104" i="5"/>
  <c r="C171" i="5"/>
  <c r="C172" i="2"/>
  <c r="H172" i="2" s="1"/>
  <c r="D206" i="5"/>
  <c r="D207" i="5"/>
  <c r="K35" i="7"/>
  <c r="K157" i="7"/>
  <c r="K137" i="7"/>
  <c r="K91" i="7"/>
  <c r="K187" i="7"/>
  <c r="K75" i="7"/>
  <c r="K77" i="7"/>
  <c r="K42" i="7"/>
  <c r="K47" i="7"/>
  <c r="K117" i="7"/>
  <c r="K97" i="7"/>
  <c r="K55" i="7"/>
  <c r="K50" i="7"/>
  <c r="K20" i="7"/>
  <c r="K133" i="7"/>
  <c r="K120" i="7"/>
  <c r="K141" i="7"/>
  <c r="K9" i="7"/>
  <c r="K130" i="7"/>
  <c r="K139" i="7"/>
  <c r="K67" i="7"/>
  <c r="K180" i="7"/>
  <c r="K111" i="7"/>
  <c r="F223" i="2"/>
  <c r="C222" i="5"/>
  <c r="F180" i="2"/>
  <c r="D180" i="2"/>
  <c r="C179" i="5"/>
  <c r="D179" i="5" s="1"/>
  <c r="E180" i="2"/>
  <c r="H17" i="2"/>
  <c r="C143" i="5"/>
  <c r="C144" i="2"/>
  <c r="H144" i="2" s="1"/>
  <c r="F144" i="2"/>
  <c r="G181" i="2"/>
  <c r="C180" i="5"/>
  <c r="D181" i="2"/>
  <c r="E181" i="2"/>
  <c r="C181" i="2"/>
  <c r="H156" i="2"/>
  <c r="D68" i="5"/>
  <c r="E212" i="2"/>
  <c r="D212" i="2"/>
  <c r="G212" i="2"/>
  <c r="C140" i="2"/>
  <c r="H140" i="2" s="1"/>
  <c r="K26" i="7"/>
  <c r="F212" i="2"/>
  <c r="G238" i="2"/>
  <c r="C238" i="2"/>
  <c r="E238" i="2"/>
  <c r="H131" i="1"/>
  <c r="J92" i="7"/>
  <c r="K92" i="7" s="1"/>
  <c r="I92" i="7"/>
  <c r="H24" i="2"/>
  <c r="I19" i="1"/>
  <c r="H49" i="2"/>
  <c r="F90" i="2"/>
  <c r="D90" i="2"/>
  <c r="H90" i="2" s="1"/>
  <c r="H114" i="1"/>
  <c r="C114" i="2"/>
  <c r="I93" i="7"/>
  <c r="J93" i="7" s="1"/>
  <c r="K93" i="7" s="1"/>
  <c r="K116" i="7"/>
  <c r="C223" i="2"/>
  <c r="H88" i="2"/>
  <c r="D241" i="2"/>
  <c r="G241" i="2"/>
  <c r="E241" i="2"/>
  <c r="E92" i="2"/>
  <c r="D92" i="2"/>
  <c r="F92" i="2"/>
  <c r="C30" i="2"/>
  <c r="C29" i="5"/>
  <c r="G30" i="2"/>
  <c r="C239" i="2"/>
  <c r="C139" i="5"/>
  <c r="J14" i="7"/>
  <c r="K14" i="7" s="1"/>
  <c r="F242" i="2"/>
  <c r="E155" i="2"/>
  <c r="C155" i="2"/>
  <c r="H155" i="2" s="1"/>
  <c r="D73" i="5"/>
  <c r="K98" i="7"/>
  <c r="D48" i="5"/>
  <c r="F197" i="2"/>
  <c r="E197" i="2"/>
  <c r="C196" i="5"/>
  <c r="G179" i="2"/>
  <c r="D179" i="2"/>
  <c r="H179" i="2" s="1"/>
  <c r="E179" i="2"/>
  <c r="C92" i="2"/>
  <c r="H168" i="1"/>
  <c r="E183" i="2"/>
  <c r="I95" i="7"/>
  <c r="J95" i="7"/>
  <c r="K95" i="7" s="1"/>
  <c r="D13" i="5"/>
  <c r="I6" i="7"/>
  <c r="J6" i="7"/>
  <c r="K6" i="7" s="1"/>
  <c r="C116" i="2"/>
  <c r="H116" i="2" s="1"/>
  <c r="K37" i="7"/>
  <c r="C161" i="2"/>
  <c r="I182" i="7"/>
  <c r="J182" i="7" s="1"/>
  <c r="K182" i="7" s="1"/>
  <c r="K78" i="7"/>
  <c r="H81" i="1"/>
  <c r="C81" i="2"/>
  <c r="C62" i="2"/>
  <c r="D62" i="2"/>
  <c r="E62" i="2"/>
  <c r="F62" i="2"/>
  <c r="E14" i="2"/>
  <c r="D14" i="2"/>
  <c r="F14" i="2"/>
  <c r="I14" i="1"/>
  <c r="G14" i="2"/>
  <c r="C105" i="5"/>
  <c r="D106" i="2"/>
  <c r="C106" i="2"/>
  <c r="E106" i="2"/>
  <c r="I82" i="1"/>
  <c r="I81" i="1"/>
  <c r="F148" i="2"/>
  <c r="K119" i="7"/>
  <c r="C13" i="2"/>
  <c r="G13" i="2"/>
  <c r="F13" i="2"/>
  <c r="E13" i="2"/>
  <c r="I13" i="1"/>
  <c r="C118" i="5"/>
  <c r="E119" i="2"/>
  <c r="I84" i="1"/>
  <c r="F119" i="2"/>
  <c r="H125" i="1"/>
  <c r="C125" i="2"/>
  <c r="C158" i="5"/>
  <c r="D158" i="5" s="1"/>
  <c r="D159" i="2"/>
  <c r="E159" i="2"/>
  <c r="C159" i="2"/>
  <c r="C160" i="2"/>
  <c r="G160" i="2"/>
  <c r="H164" i="1"/>
  <c r="C153" i="5"/>
  <c r="C154" i="2"/>
  <c r="E154" i="2"/>
  <c r="H74" i="2"/>
  <c r="I27" i="1"/>
  <c r="F27" i="2"/>
  <c r="E27" i="2"/>
  <c r="H27" i="2" s="1"/>
  <c r="C26" i="5"/>
  <c r="D26" i="5" s="1"/>
  <c r="E149" i="2"/>
  <c r="F73" i="2"/>
  <c r="C73" i="2"/>
  <c r="H73" i="2" s="1"/>
  <c r="J38" i="7"/>
  <c r="K38" i="7" s="1"/>
  <c r="C165" i="2"/>
  <c r="H165" i="2" s="1"/>
  <c r="C164" i="5"/>
  <c r="G165" i="2"/>
  <c r="E165" i="2"/>
  <c r="D60" i="2"/>
  <c r="C59" i="5"/>
  <c r="D59" i="5" s="1"/>
  <c r="C60" i="2"/>
  <c r="E60" i="2"/>
  <c r="G60" i="2"/>
  <c r="D18" i="2"/>
  <c r="C17" i="5"/>
  <c r="G18" i="2"/>
  <c r="H18" i="2" s="1"/>
  <c r="I28" i="7"/>
  <c r="J28" i="7"/>
  <c r="K28" i="7" s="1"/>
  <c r="H173" i="1"/>
  <c r="G173" i="2" s="1"/>
  <c r="I58" i="7"/>
  <c r="J58" i="7"/>
  <c r="K58" i="7" s="1"/>
  <c r="C174" i="5"/>
  <c r="D175" i="2"/>
  <c r="G175" i="2"/>
  <c r="E182" i="2"/>
  <c r="C211" i="5"/>
  <c r="D212" i="5" s="1"/>
  <c r="G106" i="2"/>
  <c r="C195" i="2"/>
  <c r="H195" i="2" s="1"/>
  <c r="K69" i="7"/>
  <c r="K136" i="7"/>
  <c r="C212" i="2"/>
  <c r="H212" i="2" s="1"/>
  <c r="G117" i="2"/>
  <c r="F222" i="2"/>
  <c r="H222" i="2" s="1"/>
  <c r="C225" i="5"/>
  <c r="E226" i="2"/>
  <c r="F18" i="2"/>
  <c r="F182" i="2"/>
  <c r="D13" i="2"/>
  <c r="H51" i="2"/>
  <c r="C14" i="2"/>
  <c r="H87" i="1"/>
  <c r="C87" i="2" s="1"/>
  <c r="E42" i="2"/>
  <c r="C41" i="5"/>
  <c r="D41" i="5" s="1"/>
  <c r="C42" i="2"/>
  <c r="H42" i="2" s="1"/>
  <c r="G42" i="2"/>
  <c r="F34" i="2"/>
  <c r="G34" i="2"/>
  <c r="E34" i="2"/>
  <c r="D34" i="2"/>
  <c r="H34" i="2" s="1"/>
  <c r="E17" i="2"/>
  <c r="G17" i="2"/>
  <c r="I17" i="1"/>
  <c r="J19" i="7"/>
  <c r="K19" i="7" s="1"/>
  <c r="K39" i="7"/>
  <c r="H161" i="1"/>
  <c r="F165" i="2"/>
  <c r="H36" i="2"/>
  <c r="G154" i="2"/>
  <c r="D154" i="2"/>
  <c r="D154" i="5"/>
  <c r="D213" i="5"/>
  <c r="D195" i="2"/>
  <c r="G240" i="2"/>
  <c r="C239" i="5"/>
  <c r="E240" i="2"/>
  <c r="D240" i="2"/>
  <c r="H240" i="2" s="1"/>
  <c r="D117" i="2"/>
  <c r="H117" i="2" s="1"/>
  <c r="F218" i="2"/>
  <c r="E124" i="2"/>
  <c r="H124" i="2" s="1"/>
  <c r="G124" i="2"/>
  <c r="D96" i="5"/>
  <c r="G206" i="2"/>
  <c r="C206" i="2"/>
  <c r="C89" i="5"/>
  <c r="D119" i="2"/>
  <c r="H119" i="2" s="1"/>
  <c r="D121" i="5"/>
  <c r="F79" i="2"/>
  <c r="G79" i="2"/>
  <c r="I91" i="1"/>
  <c r="C79" i="2"/>
  <c r="H79" i="2" s="1"/>
  <c r="C51" i="5"/>
  <c r="I52" i="1"/>
  <c r="D52" i="2"/>
  <c r="H52" i="2" s="1"/>
  <c r="I41" i="1"/>
  <c r="F41" i="2"/>
  <c r="D41" i="2"/>
  <c r="C40" i="5"/>
  <c r="G41" i="2"/>
  <c r="C24" i="5"/>
  <c r="F25" i="2"/>
  <c r="C25" i="2"/>
  <c r="I26" i="1"/>
  <c r="E25" i="2"/>
  <c r="D25" i="2"/>
  <c r="I25" i="1"/>
  <c r="D65" i="5"/>
  <c r="F54" i="2"/>
  <c r="E54" i="2"/>
  <c r="H54" i="2" s="1"/>
  <c r="C30" i="5"/>
  <c r="D31" i="5" s="1"/>
  <c r="E31" i="2"/>
  <c r="I32" i="1"/>
  <c r="I31" i="1"/>
  <c r="C158" i="2"/>
  <c r="H133" i="1"/>
  <c r="D66" i="2"/>
  <c r="H66" i="2" s="1"/>
  <c r="F66" i="2"/>
  <c r="I40" i="7"/>
  <c r="J40" i="7"/>
  <c r="K40" i="7" s="1"/>
  <c r="J109" i="7"/>
  <c r="K109" i="7" s="1"/>
  <c r="D117" i="5"/>
  <c r="E203" i="2"/>
  <c r="H203" i="2" s="1"/>
  <c r="F241" i="2"/>
  <c r="C29" i="2"/>
  <c r="H29" i="2" s="1"/>
  <c r="H53" i="2"/>
  <c r="C39" i="5"/>
  <c r="E40" i="2"/>
  <c r="I40" i="1"/>
  <c r="C40" i="2"/>
  <c r="H40" i="2" s="1"/>
  <c r="I24" i="7"/>
  <c r="J24" i="7" s="1"/>
  <c r="K24" i="7" s="1"/>
  <c r="C141" i="2"/>
  <c r="H141" i="2" s="1"/>
  <c r="F154" i="2"/>
  <c r="E67" i="2"/>
  <c r="F67" i="2"/>
  <c r="H67" i="2" s="1"/>
  <c r="C66" i="5"/>
  <c r="C166" i="5"/>
  <c r="E167" i="2"/>
  <c r="H167" i="2" s="1"/>
  <c r="E209" i="2"/>
  <c r="H209" i="2" s="1"/>
  <c r="K49" i="7"/>
  <c r="H105" i="2"/>
  <c r="C31" i="2"/>
  <c r="C97" i="2"/>
  <c r="G97" i="2"/>
  <c r="E80" i="2"/>
  <c r="G80" i="2"/>
  <c r="C46" i="5"/>
  <c r="F47" i="2"/>
  <c r="I47" i="1"/>
  <c r="D47" i="2"/>
  <c r="H47" i="2" s="1"/>
  <c r="D39" i="2"/>
  <c r="C39" i="2"/>
  <c r="C53" i="5"/>
  <c r="H174" i="1"/>
  <c r="F243" i="2"/>
  <c r="F226" i="2"/>
  <c r="G31" i="2"/>
  <c r="G54" i="2"/>
  <c r="F96" i="2"/>
  <c r="D96" i="2"/>
  <c r="C96" i="2"/>
  <c r="C80" i="2"/>
  <c r="H80" i="2" s="1"/>
  <c r="I159" i="7"/>
  <c r="J159" i="7"/>
  <c r="K159" i="7" s="1"/>
  <c r="J179" i="7"/>
  <c r="K179" i="7" s="1"/>
  <c r="H216" i="1"/>
  <c r="F216" i="2" s="1"/>
  <c r="H225" i="1"/>
  <c r="J162" i="7"/>
  <c r="K162" i="7" s="1"/>
  <c r="H201" i="1"/>
  <c r="C22" i="2"/>
  <c r="H22" i="2" s="1"/>
  <c r="E235" i="2"/>
  <c r="H235" i="2" s="1"/>
  <c r="E57" i="2"/>
  <c r="H57" i="2" s="1"/>
  <c r="G45" i="2"/>
  <c r="C45" i="2"/>
  <c r="H45" i="2" s="1"/>
  <c r="J154" i="7"/>
  <c r="K154" i="7" s="1"/>
  <c r="I59" i="1"/>
  <c r="C57" i="5"/>
  <c r="E62" i="5" s="1"/>
  <c r="I44" i="1"/>
  <c r="G44" i="2"/>
  <c r="F44" i="2"/>
  <c r="H44" i="2" s="1"/>
  <c r="C21" i="5"/>
  <c r="D22" i="2"/>
  <c r="C70" i="2"/>
  <c r="D70" i="2"/>
  <c r="C175" i="2"/>
  <c r="C58" i="2"/>
  <c r="G58" i="2"/>
  <c r="E21" i="2"/>
  <c r="D21" i="2"/>
  <c r="C21" i="2"/>
  <c r="H21" i="2" s="1"/>
  <c r="C20" i="5"/>
  <c r="D20" i="5" s="1"/>
  <c r="J43" i="7"/>
  <c r="K43" i="7" s="1"/>
  <c r="I43" i="7"/>
  <c r="G74" i="2"/>
  <c r="J22" i="7"/>
  <c r="K22" i="7" s="1"/>
  <c r="H148" i="1"/>
  <c r="G244" i="2"/>
  <c r="D244" i="2"/>
  <c r="H244" i="2" s="1"/>
  <c r="C15" i="5"/>
  <c r="C108" i="5"/>
  <c r="D109" i="5" s="1"/>
  <c r="J29" i="7"/>
  <c r="K29" i="7" s="1"/>
  <c r="H230" i="1"/>
  <c r="J134" i="7"/>
  <c r="K134" i="7" s="1"/>
  <c r="J186" i="7"/>
  <c r="K186" i="7" s="1"/>
  <c r="C45" i="5"/>
  <c r="J74" i="7"/>
  <c r="K74" i="7" s="1"/>
  <c r="J132" i="7"/>
  <c r="K132" i="7" s="1"/>
  <c r="J181" i="7"/>
  <c r="K181" i="7" s="1"/>
  <c r="D245" i="5"/>
  <c r="E245" i="5"/>
  <c r="F246" i="2"/>
  <c r="E246" i="2"/>
  <c r="H246" i="2" s="1"/>
  <c r="D238" i="5" l="1"/>
  <c r="H218" i="2"/>
  <c r="D232" i="2"/>
  <c r="C231" i="5"/>
  <c r="G232" i="2"/>
  <c r="F232" i="2"/>
  <c r="C232" i="2"/>
  <c r="D230" i="2"/>
  <c r="C230" i="2"/>
  <c r="E230" i="2"/>
  <c r="C229" i="5"/>
  <c r="D229" i="5" s="1"/>
  <c r="G230" i="2"/>
  <c r="H96" i="2"/>
  <c r="D46" i="5"/>
  <c r="D51" i="5"/>
  <c r="G62" i="5"/>
  <c r="E53" i="5"/>
  <c r="D52" i="5"/>
  <c r="F56" i="5"/>
  <c r="E161" i="2"/>
  <c r="H161" i="2" s="1"/>
  <c r="C160" i="5"/>
  <c r="G161" i="2"/>
  <c r="D161" i="2"/>
  <c r="F161" i="2"/>
  <c r="D17" i="5"/>
  <c r="D18" i="5"/>
  <c r="H159" i="2"/>
  <c r="H13" i="2"/>
  <c r="H197" i="2"/>
  <c r="E197" i="5"/>
  <c r="D195" i="5"/>
  <c r="G206" i="5"/>
  <c r="H194" i="2"/>
  <c r="D157" i="5"/>
  <c r="H153" i="2"/>
  <c r="E242" i="5"/>
  <c r="H149" i="2"/>
  <c r="H102" i="2"/>
  <c r="C233" i="5"/>
  <c r="E234" i="2"/>
  <c r="C234" i="2"/>
  <c r="D234" i="2"/>
  <c r="G234" i="2"/>
  <c r="D126" i="5"/>
  <c r="C113" i="5"/>
  <c r="F114" i="2"/>
  <c r="E114" i="2"/>
  <c r="I78" i="1"/>
  <c r="G114" i="2"/>
  <c r="I79" i="1"/>
  <c r="D114" i="2"/>
  <c r="C86" i="5"/>
  <c r="I99" i="1"/>
  <c r="D87" i="2"/>
  <c r="H87" i="2" s="1"/>
  <c r="E87" i="2"/>
  <c r="G87" i="2"/>
  <c r="F87" i="2"/>
  <c r="D142" i="5"/>
  <c r="F146" i="5"/>
  <c r="E146" i="5"/>
  <c r="E239" i="5"/>
  <c r="H224" i="2"/>
  <c r="G221" i="2"/>
  <c r="E221" i="2"/>
  <c r="C221" i="2"/>
  <c r="D221" i="2"/>
  <c r="C220" i="5"/>
  <c r="G183" i="2"/>
  <c r="C183" i="2"/>
  <c r="D183" i="2"/>
  <c r="C182" i="5"/>
  <c r="E68" i="5"/>
  <c r="D66" i="5"/>
  <c r="G74" i="5"/>
  <c r="F68" i="5"/>
  <c r="D94" i="5"/>
  <c r="F98" i="5"/>
  <c r="D97" i="5"/>
  <c r="E98" i="5"/>
  <c r="D98" i="5"/>
  <c r="H160" i="2"/>
  <c r="H181" i="2"/>
  <c r="E224" i="5"/>
  <c r="D222" i="5"/>
  <c r="E35" i="5"/>
  <c r="H219" i="2"/>
  <c r="E232" i="2"/>
  <c r="G255" i="1"/>
  <c r="G256" i="1" s="1"/>
  <c r="G257" i="1" s="1"/>
  <c r="G258" i="1" s="1"/>
  <c r="G259" i="1" s="1"/>
  <c r="G260" i="1" s="1"/>
  <c r="G261" i="1" s="1"/>
  <c r="G262" i="1" s="1"/>
  <c r="G263" i="1" s="1"/>
  <c r="G264" i="1" s="1"/>
  <c r="G265" i="1" s="1"/>
  <c r="G266" i="1" s="1"/>
  <c r="G267" i="1" s="1"/>
  <c r="E95" i="5"/>
  <c r="D171" i="5"/>
  <c r="H196" i="2"/>
  <c r="E158" i="5"/>
  <c r="D156" i="5"/>
  <c r="D169" i="5"/>
  <c r="D177" i="5"/>
  <c r="E179" i="5"/>
  <c r="D15" i="5"/>
  <c r="F20" i="5"/>
  <c r="E17" i="5"/>
  <c r="H110" i="5"/>
  <c r="F104" i="5"/>
  <c r="E101" i="5"/>
  <c r="D101" i="5"/>
  <c r="D102" i="5"/>
  <c r="F131" i="2"/>
  <c r="G131" i="2"/>
  <c r="C130" i="5"/>
  <c r="E131" i="2"/>
  <c r="D131" i="2"/>
  <c r="F74" i="5"/>
  <c r="D166" i="5"/>
  <c r="E167" i="5"/>
  <c r="H138" i="2"/>
  <c r="D211" i="5"/>
  <c r="H125" i="2"/>
  <c r="H31" i="2"/>
  <c r="H60" i="2"/>
  <c r="D189" i="5"/>
  <c r="H158" i="2"/>
  <c r="E26" i="5"/>
  <c r="D24" i="5"/>
  <c r="D16" i="5"/>
  <c r="D174" i="5"/>
  <c r="G107" i="2"/>
  <c r="F107" i="2"/>
  <c r="D107" i="2"/>
  <c r="H107" i="2" s="1"/>
  <c r="E107" i="2"/>
  <c r="C106" i="5"/>
  <c r="F191" i="2"/>
  <c r="E191" i="2"/>
  <c r="C190" i="5"/>
  <c r="D190" i="5" s="1"/>
  <c r="G191" i="2"/>
  <c r="D191" i="2"/>
  <c r="H191" i="2" s="1"/>
  <c r="G146" i="5"/>
  <c r="D47" i="5"/>
  <c r="H204" i="2"/>
  <c r="C131" i="2"/>
  <c r="H131" i="2" s="1"/>
  <c r="H150" i="2"/>
  <c r="H30" i="2"/>
  <c r="H97" i="2"/>
  <c r="D180" i="5"/>
  <c r="C148" i="2"/>
  <c r="C147" i="5"/>
  <c r="E148" i="2"/>
  <c r="G148" i="2"/>
  <c r="D148" i="2"/>
  <c r="H70" i="2"/>
  <c r="E143" i="5"/>
  <c r="E134" i="2"/>
  <c r="G134" i="2"/>
  <c r="C133" i="5"/>
  <c r="F134" i="2"/>
  <c r="D134" i="2"/>
  <c r="H145" i="2"/>
  <c r="H68" i="2"/>
  <c r="D187" i="5"/>
  <c r="E71" i="5"/>
  <c r="D203" i="5"/>
  <c r="E206" i="5"/>
  <c r="E47" i="5"/>
  <c r="D45" i="5"/>
  <c r="E50" i="5"/>
  <c r="F50" i="5"/>
  <c r="D193" i="2"/>
  <c r="G193" i="2"/>
  <c r="C192" i="5"/>
  <c r="C193" i="2"/>
  <c r="E193" i="2"/>
  <c r="D29" i="5"/>
  <c r="F32" i="5"/>
  <c r="D196" i="5"/>
  <c r="D197" i="5"/>
  <c r="H241" i="2"/>
  <c r="G81" i="2"/>
  <c r="D81" i="2"/>
  <c r="I93" i="1"/>
  <c r="E81" i="2"/>
  <c r="H81" i="2" s="1"/>
  <c r="C80" i="5"/>
  <c r="I94" i="1"/>
  <c r="F81" i="2"/>
  <c r="C173" i="5"/>
  <c r="D174" i="2"/>
  <c r="E174" i="2"/>
  <c r="G174" i="2"/>
  <c r="H106" i="2"/>
  <c r="D25" i="5"/>
  <c r="E230" i="5"/>
  <c r="D228" i="5"/>
  <c r="D21" i="5"/>
  <c r="E23" i="5"/>
  <c r="F26" i="5"/>
  <c r="C224" i="5"/>
  <c r="D224" i="5" s="1"/>
  <c r="E225" i="2"/>
  <c r="C225" i="2"/>
  <c r="G225" i="2"/>
  <c r="F225" i="2"/>
  <c r="D225" i="2"/>
  <c r="D53" i="5"/>
  <c r="D54" i="5"/>
  <c r="C174" i="2"/>
  <c r="D39" i="5"/>
  <c r="G50" i="5"/>
  <c r="E44" i="5"/>
  <c r="E41" i="5"/>
  <c r="F44" i="5"/>
  <c r="D40" i="5"/>
  <c r="E89" i="5"/>
  <c r="G98" i="5"/>
  <c r="H98" i="5"/>
  <c r="D90" i="5"/>
  <c r="F92" i="5"/>
  <c r="D89" i="5"/>
  <c r="F230" i="5"/>
  <c r="E227" i="5"/>
  <c r="D225" i="5"/>
  <c r="D226" i="5"/>
  <c r="H154" i="2"/>
  <c r="G38" i="5"/>
  <c r="C168" i="2"/>
  <c r="C167" i="5"/>
  <c r="D167" i="5" s="1"/>
  <c r="E168" i="2"/>
  <c r="F168" i="2"/>
  <c r="G168" i="2"/>
  <c r="D168" i="2"/>
  <c r="H223" i="2"/>
  <c r="E56" i="5"/>
  <c r="C134" i="2"/>
  <c r="H187" i="2"/>
  <c r="H231" i="2"/>
  <c r="D175" i="5"/>
  <c r="D58" i="5"/>
  <c r="D57" i="5"/>
  <c r="E59" i="5"/>
  <c r="F62" i="5"/>
  <c r="H114" i="2"/>
  <c r="D108" i="5"/>
  <c r="E110" i="5"/>
  <c r="H14" i="2"/>
  <c r="D42" i="5"/>
  <c r="H58" i="2"/>
  <c r="D240" i="5"/>
  <c r="D239" i="5"/>
  <c r="H238" i="2"/>
  <c r="G125" i="2"/>
  <c r="D125" i="2"/>
  <c r="C124" i="5"/>
  <c r="D125" i="5" s="1"/>
  <c r="E125" i="2"/>
  <c r="F125" i="2"/>
  <c r="E211" i="2"/>
  <c r="C210" i="5"/>
  <c r="C211" i="2"/>
  <c r="D211" i="2"/>
  <c r="G211" i="2"/>
  <c r="E201" i="2"/>
  <c r="C200" i="5"/>
  <c r="F200" i="5" s="1"/>
  <c r="G201" i="2"/>
  <c r="D201" i="2"/>
  <c r="C201" i="2"/>
  <c r="E29" i="5"/>
  <c r="F230" i="2"/>
  <c r="H226" i="2"/>
  <c r="E20" i="5"/>
  <c r="E216" i="2"/>
  <c r="D216" i="2"/>
  <c r="G216" i="2"/>
  <c r="C216" i="2"/>
  <c r="H216" i="2" s="1"/>
  <c r="C215" i="5"/>
  <c r="H39" i="2"/>
  <c r="H41" i="2"/>
  <c r="H206" i="2"/>
  <c r="E155" i="5"/>
  <c r="D153" i="5"/>
  <c r="D119" i="5"/>
  <c r="E119" i="5"/>
  <c r="D118" i="5"/>
  <c r="E122" i="5"/>
  <c r="D105" i="5"/>
  <c r="E107" i="5"/>
  <c r="F110" i="5"/>
  <c r="D27" i="5"/>
  <c r="H92" i="2"/>
  <c r="D140" i="5"/>
  <c r="E140" i="5"/>
  <c r="D139" i="5"/>
  <c r="E247" i="2"/>
  <c r="D22" i="5"/>
  <c r="E217" i="2"/>
  <c r="G217" i="2"/>
  <c r="C216" i="5"/>
  <c r="D217" i="2"/>
  <c r="C217" i="2"/>
  <c r="H217" i="2" s="1"/>
  <c r="D67" i="5"/>
  <c r="H95" i="2"/>
  <c r="E86" i="5"/>
  <c r="D159" i="5"/>
  <c r="E92" i="5"/>
  <c r="E164" i="2"/>
  <c r="C164" i="2"/>
  <c r="D164" i="2"/>
  <c r="G164" i="2"/>
  <c r="C163" i="5"/>
  <c r="D230" i="5"/>
  <c r="F193" i="2"/>
  <c r="H175" i="2"/>
  <c r="H25" i="2"/>
  <c r="H62" i="2"/>
  <c r="E133" i="2"/>
  <c r="C133" i="2"/>
  <c r="H133" i="2" s="1"/>
  <c r="F133" i="2"/>
  <c r="G133" i="2"/>
  <c r="C132" i="5"/>
  <c r="D133" i="2"/>
  <c r="D30" i="5"/>
  <c r="E32" i="5"/>
  <c r="C173" i="2"/>
  <c r="F173" i="2"/>
  <c r="E173" i="2"/>
  <c r="D173" i="2"/>
  <c r="C172" i="5"/>
  <c r="D172" i="5" s="1"/>
  <c r="D165" i="5"/>
  <c r="D164" i="5"/>
  <c r="F164" i="2"/>
  <c r="H239" i="2"/>
  <c r="D143" i="5"/>
  <c r="D144" i="5"/>
  <c r="D192" i="2"/>
  <c r="G192" i="2"/>
  <c r="E192" i="2"/>
  <c r="C191" i="5"/>
  <c r="D191" i="5" s="1"/>
  <c r="C192" i="2"/>
  <c r="H192" i="2" s="1"/>
  <c r="F201" i="2"/>
  <c r="F38" i="5"/>
  <c r="C186" i="2"/>
  <c r="G186" i="2"/>
  <c r="C185" i="5"/>
  <c r="E186" i="2"/>
  <c r="D186" i="2"/>
  <c r="D149" i="5"/>
  <c r="C247" i="2" l="1"/>
  <c r="F247" i="2"/>
  <c r="H174" i="2"/>
  <c r="E176" i="5"/>
  <c r="D182" i="5"/>
  <c r="D183" i="5"/>
  <c r="F236" i="5"/>
  <c r="D231" i="5"/>
  <c r="D232" i="5"/>
  <c r="G242" i="5"/>
  <c r="H242" i="5"/>
  <c r="E233" i="5"/>
  <c r="E236" i="5"/>
  <c r="H186" i="2"/>
  <c r="E173" i="5"/>
  <c r="H182" i="5"/>
  <c r="D113" i="5"/>
  <c r="F116" i="5"/>
  <c r="E113" i="5"/>
  <c r="E116" i="5"/>
  <c r="D114" i="5"/>
  <c r="H122" i="5"/>
  <c r="G122" i="5"/>
  <c r="D201" i="5"/>
  <c r="E200" i="5"/>
  <c r="D200" i="5"/>
  <c r="F206" i="5"/>
  <c r="D185" i="5"/>
  <c r="H194" i="5"/>
  <c r="G194" i="5"/>
  <c r="E185" i="5"/>
  <c r="F188" i="5"/>
  <c r="F218" i="5"/>
  <c r="E215" i="5"/>
  <c r="D215" i="5"/>
  <c r="E218" i="5"/>
  <c r="D216" i="5"/>
  <c r="E212" i="5"/>
  <c r="D210" i="5"/>
  <c r="G218" i="5"/>
  <c r="F212" i="5"/>
  <c r="H218" i="5"/>
  <c r="D173" i="5"/>
  <c r="E188" i="5"/>
  <c r="D147" i="5"/>
  <c r="H158" i="5"/>
  <c r="F152" i="5"/>
  <c r="G158" i="5"/>
  <c r="E149" i="5"/>
  <c r="E152" i="5"/>
  <c r="E191" i="5"/>
  <c r="G182" i="5"/>
  <c r="D87" i="5"/>
  <c r="D86" i="5"/>
  <c r="F86" i="5"/>
  <c r="H173" i="2"/>
  <c r="H225" i="2"/>
  <c r="H193" i="2"/>
  <c r="D186" i="5"/>
  <c r="H148" i="2"/>
  <c r="F134" i="5"/>
  <c r="D130" i="5"/>
  <c r="E131" i="5"/>
  <c r="D131" i="5"/>
  <c r="H221" i="2"/>
  <c r="F242" i="5"/>
  <c r="H134" i="2"/>
  <c r="H234" i="2"/>
  <c r="H211" i="2"/>
  <c r="F122" i="5"/>
  <c r="D192" i="5"/>
  <c r="E194" i="5"/>
  <c r="D193" i="5"/>
  <c r="F194" i="5"/>
  <c r="F182" i="5"/>
  <c r="D233" i="5"/>
  <c r="D234" i="5"/>
  <c r="D163" i="5"/>
  <c r="E164" i="5"/>
  <c r="H164" i="2"/>
  <c r="C253" i="1"/>
  <c r="F128" i="5"/>
  <c r="E125" i="5"/>
  <c r="D124" i="5"/>
  <c r="G134" i="5"/>
  <c r="H134" i="5"/>
  <c r="E128" i="5"/>
  <c r="D80" i="5"/>
  <c r="E80" i="5"/>
  <c r="F80" i="5"/>
  <c r="D81" i="5"/>
  <c r="E83" i="5"/>
  <c r="G86" i="5"/>
  <c r="E182" i="5"/>
  <c r="D106" i="5"/>
  <c r="G110" i="5"/>
  <c r="D107" i="5"/>
  <c r="E248" i="2"/>
  <c r="F140" i="5"/>
  <c r="F176" i="5"/>
  <c r="H183" i="2"/>
  <c r="C246" i="5"/>
  <c r="G247" i="2"/>
  <c r="D247" i="2"/>
  <c r="H247" i="2" s="1"/>
  <c r="H168" i="2"/>
  <c r="H230" i="2"/>
  <c r="E203" i="5"/>
  <c r="C255" i="1"/>
  <c r="H206" i="5"/>
  <c r="F158" i="5"/>
  <c r="H201" i="2"/>
  <c r="F170" i="5"/>
  <c r="D220" i="5"/>
  <c r="D221" i="5"/>
  <c r="E221" i="5"/>
  <c r="H230" i="5"/>
  <c r="G230" i="5"/>
  <c r="F224" i="5"/>
  <c r="E134" i="5"/>
  <c r="D132" i="5"/>
  <c r="E137" i="5"/>
  <c r="E170" i="5"/>
  <c r="D133" i="5"/>
  <c r="D134" i="5"/>
  <c r="D168" i="5"/>
  <c r="D148" i="5"/>
  <c r="D217" i="5"/>
  <c r="D160" i="5"/>
  <c r="H170" i="5"/>
  <c r="E161" i="5"/>
  <c r="D161" i="5"/>
  <c r="F164" i="5"/>
  <c r="G170" i="5"/>
  <c r="H232" i="2"/>
  <c r="F248" i="2" l="1"/>
  <c r="C256" i="1"/>
  <c r="D246" i="5"/>
  <c r="G248" i="2"/>
  <c r="D248" i="2"/>
  <c r="C247" i="5"/>
  <c r="D247" i="5" s="1"/>
  <c r="C248" i="2"/>
  <c r="C258" i="1"/>
  <c r="C257" i="1"/>
  <c r="C260" i="1" l="1"/>
  <c r="D249" i="2"/>
  <c r="C248" i="5"/>
  <c r="G249" i="2"/>
  <c r="C249" i="2"/>
  <c r="E251" i="1"/>
  <c r="E249" i="2"/>
  <c r="C261" i="1"/>
  <c r="C259" i="1"/>
  <c r="F251" i="1"/>
  <c r="H248" i="2"/>
  <c r="F249" i="2"/>
  <c r="C249" i="5" l="1"/>
  <c r="G250" i="2"/>
  <c r="D250" i="2"/>
  <c r="C250" i="2"/>
  <c r="H249" i="2"/>
  <c r="C264" i="1"/>
  <c r="E252" i="1"/>
  <c r="H251" i="1"/>
  <c r="E251" i="2" s="1"/>
  <c r="D248" i="5"/>
  <c r="E248" i="5"/>
  <c r="F248" i="5"/>
  <c r="F250" i="2"/>
  <c r="E250" i="2"/>
  <c r="F252" i="1"/>
  <c r="C262" i="1"/>
  <c r="C263" i="1"/>
  <c r="C250" i="5" l="1"/>
  <c r="D251" i="2"/>
  <c r="G251" i="2"/>
  <c r="C251" i="2"/>
  <c r="C267" i="1"/>
  <c r="F253" i="1"/>
  <c r="E253" i="1"/>
  <c r="H252" i="1"/>
  <c r="F251" i="2"/>
  <c r="H250" i="2"/>
  <c r="C265" i="1"/>
  <c r="C266" i="1"/>
  <c r="D249" i="5"/>
  <c r="E254" i="1" l="1"/>
  <c r="H253" i="1"/>
  <c r="F253" i="2" s="1"/>
  <c r="F254" i="1"/>
  <c r="H251" i="2"/>
  <c r="G252" i="2"/>
  <c r="C251" i="5"/>
  <c r="D252" i="2"/>
  <c r="C252" i="2"/>
  <c r="E252" i="2"/>
  <c r="F252" i="2"/>
  <c r="D250" i="5"/>
  <c r="D251" i="5" l="1"/>
  <c r="E251" i="5"/>
  <c r="H252" i="2"/>
  <c r="F255" i="1"/>
  <c r="C252" i="5"/>
  <c r="G253" i="2"/>
  <c r="D253" i="2"/>
  <c r="C253" i="2"/>
  <c r="E255" i="1"/>
  <c r="H254" i="1"/>
  <c r="F254" i="2" s="1"/>
  <c r="E253" i="2"/>
  <c r="E254" i="2" l="1"/>
  <c r="H253" i="2"/>
  <c r="D252" i="5"/>
  <c r="F256" i="1"/>
  <c r="E256" i="1"/>
  <c r="H255" i="1"/>
  <c r="C253" i="5"/>
  <c r="D253" i="5" s="1"/>
  <c r="D254" i="2"/>
  <c r="C254" i="2"/>
  <c r="G254" i="2"/>
  <c r="H254" i="2" l="1"/>
  <c r="E257" i="1"/>
  <c r="H256" i="1"/>
  <c r="E256" i="2" s="1"/>
  <c r="G255" i="2"/>
  <c r="C254" i="5"/>
  <c r="F254" i="5" s="1"/>
  <c r="D255" i="2"/>
  <c r="C255" i="2"/>
  <c r="F255" i="2"/>
  <c r="E255" i="2"/>
  <c r="F257" i="1"/>
  <c r="E254" i="5" l="1"/>
  <c r="F256" i="2"/>
  <c r="H254" i="5"/>
  <c r="F258" i="1"/>
  <c r="H255" i="2"/>
  <c r="D254" i="5"/>
  <c r="G254" i="5"/>
  <c r="C255" i="5"/>
  <c r="D256" i="2"/>
  <c r="G256" i="2"/>
  <c r="C256" i="2"/>
  <c r="E258" i="1"/>
  <c r="H257" i="1"/>
  <c r="F257" i="2" s="1"/>
  <c r="H256" i="2" l="1"/>
  <c r="E257" i="2"/>
  <c r="D255" i="5"/>
  <c r="D257" i="2"/>
  <c r="G257" i="2"/>
  <c r="C256" i="5"/>
  <c r="D256" i="5" s="1"/>
  <c r="C257" i="2"/>
  <c r="E259" i="1"/>
  <c r="H258" i="1"/>
  <c r="E258" i="2" s="1"/>
  <c r="F259" i="1"/>
  <c r="H257" i="2" l="1"/>
  <c r="D258" i="2"/>
  <c r="C257" i="5"/>
  <c r="D257" i="5" s="1"/>
  <c r="G258" i="2"/>
  <c r="C258" i="2"/>
  <c r="F260" i="1"/>
  <c r="E260" i="1"/>
  <c r="H259" i="1"/>
  <c r="F258" i="2"/>
  <c r="E257" i="5" l="1"/>
  <c r="F261" i="1"/>
  <c r="C259" i="2"/>
  <c r="G259" i="2"/>
  <c r="D259" i="2"/>
  <c r="C258" i="5"/>
  <c r="H258" i="2"/>
  <c r="E259" i="2"/>
  <c r="E261" i="1"/>
  <c r="H260" i="1"/>
  <c r="F259" i="2"/>
  <c r="E262" i="1" l="1"/>
  <c r="H261" i="1"/>
  <c r="G260" i="2"/>
  <c r="C259" i="5"/>
  <c r="D260" i="2"/>
  <c r="C260" i="2"/>
  <c r="E260" i="2"/>
  <c r="D258" i="5"/>
  <c r="F260" i="2"/>
  <c r="H259" i="2"/>
  <c r="F262" i="1"/>
  <c r="D259" i="5" l="1"/>
  <c r="C261" i="2"/>
  <c r="C260" i="5"/>
  <c r="D261" i="2"/>
  <c r="G261" i="2"/>
  <c r="E261" i="2"/>
  <c r="F263" i="1"/>
  <c r="H260" i="2"/>
  <c r="F261" i="2"/>
  <c r="E263" i="1"/>
  <c r="H262" i="1"/>
  <c r="F262" i="2" s="1"/>
  <c r="E262" i="2" l="1"/>
  <c r="E264" i="1"/>
  <c r="H263" i="1"/>
  <c r="F263" i="2" s="1"/>
  <c r="F264" i="1"/>
  <c r="H261" i="2"/>
  <c r="D260" i="5"/>
  <c r="F260" i="5"/>
  <c r="E260" i="5"/>
  <c r="G262" i="2"/>
  <c r="C261" i="5"/>
  <c r="D262" i="2"/>
  <c r="C262" i="2"/>
  <c r="H262" i="2" l="1"/>
  <c r="F265" i="1"/>
  <c r="D261" i="5"/>
  <c r="E265" i="1"/>
  <c r="H264" i="1"/>
  <c r="C263" i="2"/>
  <c r="G263" i="2"/>
  <c r="C262" i="5"/>
  <c r="D263" i="2"/>
  <c r="E263" i="2"/>
  <c r="H263" i="2" l="1"/>
  <c r="E266" i="1"/>
  <c r="H265" i="1"/>
  <c r="C264" i="2"/>
  <c r="G264" i="2"/>
  <c r="C263" i="5"/>
  <c r="D263" i="5" s="1"/>
  <c r="D264" i="2"/>
  <c r="F264" i="2"/>
  <c r="D262" i="5"/>
  <c r="E264" i="2"/>
  <c r="F266" i="1"/>
  <c r="H264" i="2" l="1"/>
  <c r="D265" i="2"/>
  <c r="C264" i="5"/>
  <c r="G265" i="2"/>
  <c r="C265" i="2"/>
  <c r="E265" i="2"/>
  <c r="E267" i="1"/>
  <c r="H266" i="1"/>
  <c r="F265" i="2"/>
  <c r="F267" i="1"/>
  <c r="E263" i="5"/>
  <c r="C266" i="2" l="1"/>
  <c r="G266" i="2"/>
  <c r="C265" i="5"/>
  <c r="D265" i="5" s="1"/>
  <c r="D266" i="2"/>
  <c r="F266" i="2"/>
  <c r="H267" i="1"/>
  <c r="D264" i="5"/>
  <c r="E266" i="2"/>
  <c r="H265" i="2"/>
  <c r="C266" i="5" l="1"/>
  <c r="D267" i="2"/>
  <c r="G267" i="2"/>
  <c r="C267" i="2"/>
  <c r="E267" i="2"/>
  <c r="H266" i="2"/>
  <c r="F267" i="2"/>
  <c r="H267" i="2" l="1"/>
  <c r="D266" i="5"/>
  <c r="G266" i="5"/>
  <c r="F266" i="5"/>
  <c r="E266" i="5"/>
  <c r="H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7658007B-F734-4F74-8934-F8D9C01D1595}">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CA9756A7-FDFE-4300-9CBF-DCA83BE64E50}">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Marian Hestehave Jensen</author>
    <author>Lasse</author>
    <author>Leif Carstens</author>
  </authors>
  <commentList>
    <comment ref="B8" authorId="0" shapeId="0" xr:uid="{C5106D63-E28A-4947-9ED3-73C90737BBC6}">
      <text>
        <r>
          <rPr>
            <b/>
            <sz val="9"/>
            <color indexed="81"/>
            <rFont val="Tahoma"/>
            <family val="2"/>
          </rPr>
          <t>Marian Hestehave Jensen:</t>
        </r>
        <r>
          <rPr>
            <sz val="9"/>
            <color indexed="81"/>
            <rFont val="Tahoma"/>
            <family val="2"/>
          </rPr>
          <t xml:space="preserve">
Ændet fra Gaspoint Nordic til Powernext 1.11.19
https://www.powernext.com/spot-market-data</t>
        </r>
      </text>
    </comment>
    <comment ref="A9" authorId="1" shapeId="0" xr:uid="{99305A79-D7BD-4F06-B82B-9184D98D4908}">
      <text>
        <r>
          <rPr>
            <sz val="8"/>
            <color indexed="81"/>
            <rFont val="Tahoma"/>
            <family val="2"/>
          </rPr>
          <t>Dette indeks skal dække omkostninger til reparation og vedligeholdelse</t>
        </r>
      </text>
    </comment>
    <comment ref="A10" authorId="2" shapeId="0" xr:uid="{7D1937C9-C3B7-421E-AAD1-CBFE1EE84D6C}">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mtsvr</author>
  </authors>
  <commentList>
    <comment ref="D2" authorId="0" shapeId="0" xr:uid="{789B9635-09F9-4070-83B1-433C5BCC917C}">
      <text>
        <r>
          <rPr>
            <b/>
            <sz val="9"/>
            <color indexed="81"/>
            <rFont val="Tahoma"/>
            <family val="2"/>
          </rPr>
          <t>mtsvr:</t>
        </r>
        <r>
          <rPr>
            <sz val="9"/>
            <color indexed="81"/>
            <rFont val="Tahoma"/>
            <family val="2"/>
          </rPr>
          <t xml:space="preserve">
5 måneder før i stedet for 4 måneder, jf. Fynbus.</t>
        </r>
      </text>
    </comment>
    <comment ref="D16" authorId="0" shapeId="0" xr:uid="{B254A3C0-7743-437F-8DF1-B94927B59945}">
      <text>
        <r>
          <rPr>
            <b/>
            <sz val="9"/>
            <color indexed="81"/>
            <rFont val="Tahoma"/>
            <family val="2"/>
          </rPr>
          <t>mtsvr:</t>
        </r>
        <r>
          <rPr>
            <sz val="9"/>
            <color indexed="81"/>
            <rFont val="Tahoma"/>
            <family val="2"/>
          </rPr>
          <t xml:space="preserve">
5 måneder før i stedet for 4 måneder, jf. Fynbus.</t>
        </r>
      </text>
    </comment>
  </commentList>
</comments>
</file>

<file path=xl/sharedStrings.xml><?xml version="1.0" encoding="utf-8"?>
<sst xmlns="http://schemas.openxmlformats.org/spreadsheetml/2006/main" count="1321" uniqueCount="122">
  <si>
    <t>Indeks</t>
  </si>
  <si>
    <t>År</t>
  </si>
  <si>
    <t>Måned</t>
  </si>
  <si>
    <t>Løn</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</si>
  <si>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</si>
  <si>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</si>
  <si>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</si>
  <si>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</si>
  <si>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</si>
  <si>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</si>
  <si>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</si>
  <si>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</si>
  <si>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</si>
  <si>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</si>
  <si>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</si>
  <si>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</si>
  <si>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</si>
  <si>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</si>
  <si>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</si>
  <si>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</si>
  <si>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</si>
  <si>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</si>
  <si>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</si>
  <si>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</si>
  <si>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</si>
  <si>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</si>
  <si>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</si>
  <si>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</si>
  <si>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</si>
  <si>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Danmarks Statistik - www.statistikbanken.dk</t>
  </si>
  <si>
    <t>Juli</t>
  </si>
  <si>
    <t>Skøn</t>
  </si>
  <si>
    <t>Kildebeskrivelse</t>
  </si>
  <si>
    <t>∆ Kvartal</t>
  </si>
  <si>
    <t>∆ År</t>
  </si>
  <si>
    <t>Udvikling i indeks</t>
  </si>
  <si>
    <t>∆ Halvår</t>
  </si>
  <si>
    <t>Forskydning</t>
  </si>
  <si>
    <t>6 måneder</t>
  </si>
  <si>
    <t>2 måneder</t>
  </si>
  <si>
    <t>Se note 1</t>
  </si>
  <si>
    <t>Se note 2</t>
  </si>
  <si>
    <t>Se note 3</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</si>
  <si>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</si>
  <si>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</si>
  <si>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</si>
  <si>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</si>
  <si>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</si>
  <si>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</si>
  <si>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</si>
  <si>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</si>
  <si>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</si>
  <si>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</si>
  <si>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</si>
  <si>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</si>
  <si>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</si>
  <si>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</si>
  <si>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</si>
  <si>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</si>
  <si>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</si>
  <si>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</si>
  <si>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</si>
  <si>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</si>
  <si>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</si>
  <si>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t>Gas</t>
  </si>
  <si>
    <t>Kr pr. m3</t>
  </si>
  <si>
    <t>Gaspris - Månedlig spotpris fra Gaspoint Nordic 2 måneder før</t>
  </si>
  <si>
    <t>CO2-afgiftsloven</t>
  </si>
  <si>
    <t>Kvælstofoxide-afgiftsloven</t>
  </si>
  <si>
    <t>Energiafgifter i alt</t>
  </si>
  <si>
    <t>Moms</t>
  </si>
  <si>
    <t>Gasafgifts-loven</t>
  </si>
  <si>
    <t>Gaspris med tillæg
i alt</t>
  </si>
  <si>
    <r>
      <t>Gasprisindeks med basis i</t>
    </r>
    <r>
      <rPr>
        <sz val="10"/>
        <color indexed="10"/>
        <rFont val="Arial"/>
        <family val="2"/>
      </rPr>
      <t xml:space="preserve"> </t>
    </r>
    <r>
      <rPr>
        <b/>
        <sz val="10"/>
        <color indexed="56"/>
        <rFont val="Arial"/>
        <family val="2"/>
      </rPr>
      <t>januar 2015 = 158,3</t>
    </r>
    <r>
      <rPr>
        <sz val="10"/>
        <rFont val="Arial"/>
        <family val="2"/>
      </rPr>
      <t xml:space="preserve">
 ligesom i Omkostnings-
indekset med diesel</t>
    </r>
  </si>
  <si>
    <r>
      <t xml:space="preserve">Distrubution - Energitilsynets </t>
    </r>
    <r>
      <rPr>
        <b/>
        <sz val="10"/>
        <color indexed="56"/>
        <rFont val="Arial"/>
        <family val="2"/>
      </rPr>
      <t>kvartalsvise</t>
    </r>
    <r>
      <rPr>
        <sz val="10"/>
        <rFont val="Arial"/>
        <family val="2"/>
      </rPr>
      <t xml:space="preserve"> naturgaspris-
statistik for husholdninger 5 måneder før</t>
    </r>
  </si>
  <si>
    <t>se ark gas
beregning</t>
  </si>
  <si>
    <t>Energiafgifter - aktuelle satser fra Skatteministeriets hjemmeside årlig</t>
  </si>
  <si>
    <t>GAS</t>
  </si>
  <si>
    <t>Gaspoint Nordic, Energitilsynet,Skatteministeriet</t>
  </si>
  <si>
    <r>
      <t xml:space="preserve">PRIS6: Forbrugerprisindeks - diesel og smøreolie.
</t>
    </r>
    <r>
      <rPr>
        <b/>
        <sz val="10"/>
        <rFont val="Arial"/>
        <family val="2"/>
      </rPr>
      <t xml:space="preserve"> Korrigeret til gas fra januar 2015</t>
    </r>
    <r>
      <rPr>
        <sz val="10"/>
        <rFont val="Arial"/>
        <family val="2"/>
      </rPr>
      <t>, se nedenstående</t>
    </r>
  </si>
  <si>
    <t>Diesel
UDGÅR</t>
  </si>
  <si>
    <r>
      <rPr>
        <b/>
        <sz val="10"/>
        <rFont val="Arial"/>
        <family val="2"/>
      </rPr>
      <t>Indkomst, forbrug og priser:</t>
    </r>
    <r>
      <rPr>
        <sz val="10"/>
        <rFont val="Arial"/>
        <family val="2"/>
      </rPr>
      <t xml:space="preserve"> Prisindeks .. PRIS111: Forbrugerprisindeks - 00. I ALT
Fra 1.1.2016 udgår PRIS6 og ændres til PRIS111</t>
    </r>
  </si>
  <si>
    <t>Note 5</t>
  </si>
  <si>
    <t>PRIS6 offentliggøres ikke mere fra ultimo 2015 ændres til PRIS111 fra primo 2016 iht. skrivelse fra Danmark Statistik</t>
  </si>
  <si>
    <t>Note 6</t>
  </si>
  <si>
    <t>Opdatering af ark i perioden juli 2016 til og med november 2016 pga. nedsat nox afgift med virkning fra 1.7.16</t>
  </si>
  <si>
    <t>Note_</t>
  </si>
  <si>
    <t>Note 7</t>
  </si>
  <si>
    <t>Gaspoint Nordic har offentliggjort forkert pris for september og oktober 2017. Fejlen påvirker kun indeks for oktober 2017.</t>
  </si>
  <si>
    <t>Energitilsynet har foretaget en teknisk korrektion for april og maj 2017 fra 1,06 til 1,07 (5 mdr. før). September og oktober ændres ikke.</t>
  </si>
  <si>
    <t>Distrubution - Energitilsynets kvartalsvise naturgaspris-
statistik for husholdninger 5 måneder før</t>
  </si>
  <si>
    <t>Gasprisindeks med basis i januar 2015 = 158,3
 ligesom i Omkostnings-
indekset med diesel</t>
  </si>
  <si>
    <t>Gasomkostningsindeks</t>
  </si>
  <si>
    <t>note 8</t>
  </si>
  <si>
    <t xml:space="preserve">Skatteministeriet har ultimo februar 2018, med tilbagevirkende kraft pr. 1.1.2018 ændret afgiftsatsen  for gas med nedre </t>
  </si>
  <si>
    <r>
      <t xml:space="preserve"> brændværdi på 39,6 MJ ,der anvendes eller er bestemt til anvendelse som motorbrændstof  fra 3,033</t>
    </r>
    <r>
      <rPr>
        <b/>
        <sz val="8"/>
        <rFont val="Arial"/>
        <family val="2"/>
      </rPr>
      <t xml:space="preserve">  </t>
    </r>
    <r>
      <rPr>
        <sz val="8"/>
        <rFont val="Arial"/>
        <family val="2"/>
      </rPr>
      <t>til</t>
    </r>
    <r>
      <rPr>
        <b/>
        <sz val="8"/>
        <rFont val="Arial"/>
        <family val="2"/>
      </rPr>
      <t xml:space="preserve"> </t>
    </r>
    <r>
      <rPr>
        <sz val="8"/>
        <rFont val="Arial"/>
        <family val="2"/>
      </rPr>
      <t xml:space="preserve"> </t>
    </r>
    <r>
      <rPr>
        <b/>
        <sz val="8"/>
        <rFont val="Arial"/>
        <family val="2"/>
      </rPr>
      <t>3,010</t>
    </r>
  </si>
  <si>
    <r>
      <t xml:space="preserve"> brændværdi på 39,6 MJ , der anvendes eller er bestemt til anvendelse som motorbrændstof  fra 3,033</t>
    </r>
    <r>
      <rPr>
        <b/>
        <sz val="7"/>
        <rFont val="Arial"/>
        <family val="2"/>
      </rPr>
      <t xml:space="preserve">  </t>
    </r>
    <r>
      <rPr>
        <sz val="7"/>
        <rFont val="Arial"/>
        <family val="2"/>
      </rPr>
      <t>til</t>
    </r>
    <r>
      <rPr>
        <b/>
        <sz val="7"/>
        <rFont val="Arial"/>
        <family val="2"/>
      </rPr>
      <t xml:space="preserve"> </t>
    </r>
    <r>
      <rPr>
        <sz val="7"/>
        <rFont val="Arial"/>
        <family val="2"/>
      </rPr>
      <t xml:space="preserve"> </t>
    </r>
    <r>
      <rPr>
        <b/>
        <sz val="7"/>
        <rFont val="Arial"/>
        <family val="2"/>
      </rPr>
      <t>3,010</t>
    </r>
  </si>
  <si>
    <t>Note 4b</t>
  </si>
  <si>
    <t>PRIS 11.87 erstattes fra 1.3.2019 af PRIS1115.87 I ALT. Indeksbasisåret er skfitet fra 2010=100 til 2015=100</t>
  </si>
  <si>
    <r>
      <rPr>
        <b/>
        <sz val="10"/>
        <rFont val="Arial"/>
        <family val="2"/>
      </rPr>
      <t>Indkomst, forbrug og priser:</t>
    </r>
    <r>
      <rPr>
        <sz val="10"/>
        <rFont val="Arial"/>
        <family val="2"/>
      </rPr>
      <t xml:space="preserve"> Prisindeks .. PRIS10: Prisindeks for indenlandsk vareforsyning - Maskiner og værktøjer samt varetransportmidler - ALT
1.11.2014 PRIS10 UDGÅR og erstattes af
PRIS11.87 køretøjer og dele detil I ALT.</t>
    </r>
    <r>
      <rPr>
        <b/>
        <sz val="10"/>
        <rFont val="Arial"/>
        <family val="2"/>
      </rPr>
      <t xml:space="preserve">
</t>
    </r>
    <r>
      <rPr>
        <sz val="10"/>
        <color indexed="62"/>
        <rFont val="Arial"/>
        <family val="2"/>
      </rPr>
      <t xml:space="preserve">Erstattes 1.3.2019 af </t>
    </r>
    <r>
      <rPr>
        <b/>
        <sz val="10"/>
        <color indexed="62"/>
        <rFont val="Arial"/>
        <family val="2"/>
      </rPr>
      <t xml:space="preserve">PRIS1115.87 I ALT. </t>
    </r>
    <r>
      <rPr>
        <sz val="10"/>
        <color indexed="62"/>
        <rFont val="Arial"/>
        <family val="2"/>
      </rPr>
      <t>Indeksbasisåret er skiftet fra 2010=100 til 2015=100</t>
    </r>
  </si>
  <si>
    <r>
      <rPr>
        <sz val="10"/>
        <rFont val="Arial"/>
        <family val="2"/>
      </rPr>
      <t xml:space="preserve">1) Månedlig spotpris ændret fra </t>
    </r>
    <r>
      <rPr>
        <b/>
        <sz val="10"/>
        <rFont val="Arial"/>
        <family val="2"/>
      </rPr>
      <t xml:space="preserve">Gaspoint Nordic til Powernext </t>
    </r>
    <r>
      <rPr>
        <sz val="10"/>
        <rFont val="Arial"/>
        <family val="2"/>
      </rPr>
      <t>1.11.19.</t>
    </r>
    <r>
      <rPr>
        <b/>
        <sz val="10"/>
        <rFont val="Arial"/>
        <family val="2"/>
      </rPr>
      <t xml:space="preserve">
 </t>
    </r>
    <r>
      <rPr>
        <b/>
        <sz val="10"/>
        <color indexed="56"/>
        <rFont val="Arial"/>
        <family val="2"/>
      </rPr>
      <t>https://www.powernext.com/spot-market-data</t>
    </r>
    <r>
      <rPr>
        <sz val="10"/>
        <rFont val="Arial"/>
        <family val="2"/>
      </rPr>
      <t xml:space="preserve">
2) Udgift til distrubution fra </t>
    </r>
    <r>
      <rPr>
        <b/>
        <sz val="10"/>
        <rFont val="Arial"/>
        <family val="2"/>
      </rPr>
      <t>Energitilsynet</t>
    </r>
    <r>
      <rPr>
        <sz val="10"/>
        <rFont val="Arial"/>
        <family val="2"/>
      </rPr>
      <t xml:space="preserve"> naturgasprisstatistik
3) Energiafgifter (gasafgiftloven,CO2 afgiftsloven og </t>
    </r>
    <r>
      <rPr>
        <sz val="10"/>
        <color indexed="10"/>
        <rFont val="Arial"/>
        <family val="2"/>
      </rPr>
      <t xml:space="preserve">
</t>
    </r>
    <r>
      <rPr>
        <sz val="10"/>
        <rFont val="Arial"/>
        <family val="2"/>
      </rPr>
      <t xml:space="preserve">kvælstofoxideafgiftloven) aktuelle satser fra </t>
    </r>
    <r>
      <rPr>
        <b/>
        <sz val="10"/>
        <rFont val="Arial"/>
        <family val="2"/>
      </rPr>
      <t>Skatteministeriet</t>
    </r>
  </si>
  <si>
    <t>2 måneder
5 måneder
ingen</t>
  </si>
  <si>
    <t>note 9</t>
  </si>
  <si>
    <t>Gasindeks er ændret fra 1.3.19 til og med 29.2.20 pga. forkert beregning fra Forsyningstilsynet  på dristribution</t>
  </si>
  <si>
    <t>Gasindeks er ændret fra 1.3.19 til og med 29.2.20 pga. forkert beregning fra Forsyningstilsynet på distribution</t>
  </si>
  <si>
    <t xml:space="preserve"> brændværdi på 39,6 MJ ,der anvendes eller er bestemt til anvendelse som motorbrændstof  fra 3,033  til  3,010</t>
  </si>
  <si>
    <r>
      <rPr>
        <b/>
        <sz val="10"/>
        <rFont val="Arial"/>
        <family val="2"/>
      </rPr>
      <t xml:space="preserve">Udgår: Penge og kapitalmarked: </t>
    </r>
    <r>
      <rPr>
        <sz val="10"/>
        <rFont val="Arial"/>
        <family val="2"/>
      </rPr>
      <t xml:space="preserve">Rente- og kursudvikling .. </t>
    </r>
    <r>
      <rPr>
        <sz val="10"/>
        <rFont val="Arial"/>
        <family val="2"/>
      </rPr>
      <t>MPK3: Samtlige serier (Obligationsrentegennemsnit)</t>
    </r>
    <r>
      <rPr>
        <sz val="10"/>
        <rFont val="Arial"/>
        <family val="2"/>
      </rPr>
      <t xml:space="preserve">
</t>
    </r>
    <r>
      <rPr>
        <b/>
        <sz val="9"/>
        <rFont val="Arial"/>
        <family val="2"/>
      </rPr>
      <t>Ændres til</t>
    </r>
    <r>
      <rPr>
        <sz val="10"/>
        <rFont val="Arial"/>
        <family val="2"/>
      </rPr>
      <t>: fra 2021 hentes renten fra Nasdaq, Average Bond Yield - rentegennemsnit (nasdaqomxnordic.com)</t>
    </r>
  </si>
  <si>
    <t>note 10</t>
  </si>
  <si>
    <t xml:space="preserve">I beregning af gasindeks indgår distributionsafgiften. Forsyningstilsynet har ændret beregningsmetode af denne, </t>
  </si>
  <si>
    <t xml:space="preserve">hvilket har medført en væsentlig stigning i afgiften. Årsagen er forsyningspligtproduktet er bortfaldet pr. 1 april. </t>
  </si>
  <si>
    <t>Ændringen har betydning for indekset i september 2023 og fremadrettet.</t>
  </si>
  <si>
    <t xml:space="preserve">hvilket har medført en væsentlig stigning i afgiften. Årsagen er at forsyningspligtproduktet er bortfaldet pr. 1 april 2023. </t>
  </si>
  <si>
    <t>Note 11:</t>
  </si>
  <si>
    <t>Note 11</t>
  </si>
  <si>
    <t>Note 4c</t>
  </si>
  <si>
    <t>PRIS1115.87 I ALT erstattes fra 1.3.2025 af PRIS1121.87 I ALT. Indeksbasisåret er skiftet fra 2015=100 til 2021=100</t>
  </si>
  <si>
    <t xml:space="preserve">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  </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</si>
  <si>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b/>
        <sz val="9"/>
        <rFont val="Arial"/>
        <family val="2"/>
      </rPr>
      <t>Fra 1.1.2013 reguleres lønindeks med ændring i lønsum (1,0101)</t>
    </r>
    <r>
      <rPr>
        <sz val="10"/>
        <rFont val="Arial"/>
        <family val="2"/>
      </rPr>
      <t xml:space="preserve">
</t>
    </r>
    <r>
      <rPr>
        <b/>
        <sz val="10"/>
        <rFont val="Arial"/>
        <family val="2"/>
      </rPr>
      <t>Fra 1. kvt. 2014 ændret til ILON12.</t>
    </r>
    <r>
      <rPr>
        <sz val="10"/>
        <rFont val="Arial"/>
        <family val="2"/>
      </rPr>
      <t xml:space="preserve">
Fra marts 2025 ændret til SBLON1, med afregning fra 3. kvt. 2025</t>
    </r>
  </si>
  <si>
    <t>Løn
(SBLON Vest)</t>
  </si>
  <si>
    <t>Note 4c og Note 12</t>
  </si>
  <si>
    <t>ILON12 erstattes med SBLON1</t>
  </si>
  <si>
    <t>Note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</si>
</sst>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_(* #,##0.00_);_(* \(#,##0.00\);_(* &quot;-&quot;??_);_(@_)"/>
    <numFmt numFmtId="166" formatCode="0.0"/>
    <numFmt numFmtId="167" formatCode="0.0%"/>
    <numFmt numFmtId="168" formatCode="#,##0.0_ ;\-#,##0.0\ "/>
    <numFmt numFmtId="169" formatCode="0.0000"/>
    <numFmt numFmtId="170" formatCode="0.000"/>
    <numFmt numFmtId="171" formatCode="0.00000"/>
    <numFmt numFmtId="172" formatCode="_ * #,##0.0_ ;_ * \-#,##0.0_ ;_ * &quot;-&quot;??_ ;_ @_ "/>
    <numFmt numFmtId="173" formatCode="#,##0.000"/>
  </numFmts>
  <fonts count="43" x14ac:knownFonts="1">
    <font>
      <sz val="10"/>
      <name val="Arial"/>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b/>
      <sz val="8"/>
      <color indexed="81"/>
      <name val="Tahoma"/>
      <family val="2"/>
    </font>
    <font>
      <sz val="9"/>
      <color indexed="81"/>
      <name val="Tahoma"/>
      <family val="2"/>
    </font>
    <font>
      <b/>
      <sz val="9"/>
      <color indexed="81"/>
      <name val="Tahoma"/>
      <family val="2"/>
    </font>
    <font>
      <u/>
      <sz val="10"/>
      <color indexed="12"/>
      <name val="Arial"/>
      <family val="2"/>
    </font>
    <font>
      <u/>
      <sz val="10"/>
      <color indexed="12"/>
      <name val="Arial"/>
      <family val="2"/>
    </font>
    <font>
      <b/>
      <sz val="10"/>
      <name val="Arial"/>
      <family val="2"/>
    </font>
    <font>
      <sz val="10"/>
      <name val="Arial"/>
      <family val="2"/>
    </font>
    <font>
      <u/>
      <sz val="10"/>
      <color indexed="12"/>
      <name val="Arial"/>
      <family val="2"/>
    </font>
    <font>
      <sz val="10"/>
      <color indexed="10"/>
      <name val="Arial"/>
      <family val="2"/>
    </font>
    <font>
      <b/>
      <sz val="10"/>
      <color indexed="56"/>
      <name val="Arial"/>
      <family val="2"/>
    </font>
    <font>
      <b/>
      <sz val="9"/>
      <name val="Arial"/>
      <family val="2"/>
    </font>
    <font>
      <sz val="9"/>
      <name val="Arial"/>
      <family val="2"/>
    </font>
    <font>
      <b/>
      <sz val="8"/>
      <name val="Arial"/>
      <family val="2"/>
    </font>
    <font>
      <sz val="7"/>
      <name val="Arial"/>
      <family val="2"/>
    </font>
    <font>
      <b/>
      <sz val="7"/>
      <name val="Arial"/>
      <family val="2"/>
    </font>
    <font>
      <sz val="10"/>
      <color indexed="62"/>
      <name val="Arial"/>
      <family val="2"/>
    </font>
    <font>
      <b/>
      <sz val="10"/>
      <color indexed="62"/>
      <name val="Arial"/>
      <family val="2"/>
    </font>
    <font>
      <i/>
      <sz val="12"/>
      <name val="Arial"/>
      <family val="2"/>
    </font>
    <font>
      <i/>
      <sz val="12"/>
      <name val="Arial"/>
      <family val="2"/>
    </font>
    <font>
      <sz val="11"/>
      <color theme="1"/>
      <name val="Calibri"/>
      <family val="2"/>
      <scheme val="minor"/>
    </font>
    <font>
      <u/>
      <sz val="11"/>
      <color theme="10"/>
      <name val="Calibri"/>
      <family val="2"/>
      <scheme val="minor"/>
    </font>
    <font>
      <sz val="10"/>
      <color rgb="FFFF0000"/>
      <name val="Arial"/>
      <family val="2"/>
    </font>
    <font>
      <sz val="10"/>
      <color theme="1"/>
      <name val="Arial"/>
      <family val="2"/>
    </font>
    <font>
      <b/>
      <sz val="10"/>
      <color theme="1"/>
      <name val="Arial"/>
      <family val="2"/>
    </font>
    <font>
      <sz val="1"/>
      <color theme="1"/>
      <name val="Arial"/>
      <family val="2"/>
    </font>
    <font>
      <sz val="9"/>
      <color rgb="FFFF0000"/>
      <name val="Arial"/>
      <family val="2"/>
    </font>
    <font>
      <sz val="8"/>
      <color theme="1"/>
      <name val="Arial"/>
      <family val="2"/>
    </font>
  </fonts>
  <fills count="20">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14999847407452621"/>
        <bgColor theme="0" tint="-0.14999847407452621"/>
      </patternFill>
    </fill>
    <fill>
      <patternFill patternType="solid">
        <fgColor theme="6" tint="0.39997558519241921"/>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0"/>
        <bgColor theme="0" tint="-0.14999847407452621"/>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s>
  <borders count="18">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22" fillId="0" borderId="0" applyFont="0" applyFill="0" applyBorder="0" applyAlignment="0" applyProtection="0"/>
    <xf numFmtId="0" fontId="36" fillId="0" borderId="0" applyNumberFormat="0" applyFill="0" applyBorder="0" applyAlignment="0" applyProtection="0"/>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35" fillId="0" borderId="0"/>
    <xf numFmtId="0" fontId="1" fillId="0" borderId="0"/>
  </cellStyleXfs>
  <cellXfs count="428">
    <xf numFmtId="0" fontId="0" fillId="0" borderId="0" xfId="0"/>
    <xf numFmtId="0" fontId="2" fillId="0" borderId="0" xfId="0" applyFont="1"/>
    <xf numFmtId="0" fontId="3" fillId="0" borderId="0" xfId="0" applyFont="1"/>
    <xf numFmtId="9" fontId="3" fillId="0" borderId="0" xfId="0" applyNumberFormat="1" applyFont="1"/>
    <xf numFmtId="165" fontId="0" fillId="0" borderId="0" xfId="0" applyNumberFormat="1"/>
    <xf numFmtId="9" fontId="0" fillId="0" borderId="0" xfId="0" applyNumberFormat="1"/>
    <xf numFmtId="0" fontId="7" fillId="0" borderId="0" xfId="0" applyFont="1"/>
    <xf numFmtId="0" fontId="6" fillId="0" borderId="0" xfId="0" applyFont="1"/>
    <xf numFmtId="0" fontId="3" fillId="0" borderId="0" xfId="0" applyFont="1" applyBorder="1"/>
    <xf numFmtId="166" fontId="3" fillId="0" borderId="0" xfId="0" applyNumberFormat="1" applyFont="1" applyBorder="1"/>
    <xf numFmtId="2" fontId="3" fillId="0" borderId="0" xfId="0" applyNumberFormat="1" applyFont="1" applyBorder="1"/>
    <xf numFmtId="165" fontId="3" fillId="0" borderId="0" xfId="0" applyNumberFormat="1" applyFont="1" applyBorder="1"/>
    <xf numFmtId="0" fontId="8" fillId="0" borderId="0" xfId="0" applyFont="1" applyBorder="1"/>
    <xf numFmtId="0" fontId="0" fillId="0" borderId="0" xfId="0" applyBorder="1"/>
    <xf numFmtId="166" fontId="0" fillId="0" borderId="0" xfId="0" applyNumberFormat="1" applyBorder="1"/>
    <xf numFmtId="165" fontId="0" fillId="0" borderId="0" xfId="0" applyNumberFormat="1" applyBorder="1"/>
    <xf numFmtId="0" fontId="8"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8"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applyBorder="1"/>
    <xf numFmtId="0" fontId="6" fillId="0" borderId="2" xfId="0" applyFont="1" applyBorder="1"/>
    <xf numFmtId="2" fontId="0" fillId="0" borderId="2" xfId="0" applyNumberFormat="1" applyBorder="1"/>
    <xf numFmtId="166" fontId="6" fillId="0" borderId="2" xfId="0" applyNumberFormat="1" applyFont="1" applyBorder="1"/>
    <xf numFmtId="0" fontId="10" fillId="0" borderId="0" xfId="0" applyFont="1" applyAlignment="1">
      <alignment horizontal="center"/>
    </xf>
    <xf numFmtId="0" fontId="3" fillId="0" borderId="0" xfId="0" applyFont="1" applyAlignment="1">
      <alignment horizontal="left"/>
    </xf>
    <xf numFmtId="0" fontId="12" fillId="0" borderId="0" xfId="0" applyFont="1"/>
    <xf numFmtId="0" fontId="8" fillId="0" borderId="0" xfId="0" applyFont="1" applyFill="1" applyBorder="1"/>
    <xf numFmtId="0" fontId="0" fillId="0" borderId="0" xfId="0" applyFill="1" applyBorder="1"/>
    <xf numFmtId="166" fontId="0" fillId="0" borderId="0" xfId="0" applyNumberFormat="1" applyFill="1" applyBorder="1"/>
    <xf numFmtId="164" fontId="6" fillId="0" borderId="0" xfId="0" applyNumberFormat="1" applyFont="1"/>
    <xf numFmtId="164" fontId="9" fillId="0" borderId="0" xfId="0" applyNumberFormat="1" applyFont="1"/>
    <xf numFmtId="0" fontId="6" fillId="0" borderId="0" xfId="0" applyNumberFormat="1" applyFont="1"/>
    <xf numFmtId="0" fontId="8"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6"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applyBorder="1"/>
    <xf numFmtId="0" fontId="0" fillId="2" borderId="3" xfId="0" applyFill="1" applyBorder="1"/>
    <xf numFmtId="0" fontId="0" fillId="0" borderId="0" xfId="0" applyAlignment="1">
      <alignment horizontal="center"/>
    </xf>
    <xf numFmtId="0" fontId="7" fillId="0" borderId="0" xfId="0" applyFont="1" applyAlignment="1">
      <alignment horizontal="left"/>
    </xf>
    <xf numFmtId="166" fontId="10" fillId="0" borderId="0" xfId="1" applyNumberFormat="1" applyFont="1" applyBorder="1" applyAlignment="1">
      <alignment horizontal="center"/>
    </xf>
    <xf numFmtId="166" fontId="11" fillId="0" borderId="0" xfId="1" applyNumberFormat="1" applyFont="1" applyBorder="1" applyAlignment="1">
      <alignment horizontal="center"/>
    </xf>
    <xf numFmtId="166" fontId="11" fillId="0" borderId="1" xfId="1" applyNumberFormat="1" applyFont="1" applyBorder="1" applyAlignment="1">
      <alignment horizontal="center"/>
    </xf>
    <xf numFmtId="166" fontId="11" fillId="0" borderId="2" xfId="1" applyNumberFormat="1" applyFont="1" applyBorder="1" applyAlignment="1">
      <alignment horizontal="center"/>
    </xf>
    <xf numFmtId="166" fontId="11" fillId="0" borderId="3" xfId="1" applyNumberFormat="1" applyFont="1" applyBorder="1" applyAlignment="1">
      <alignment horizontal="center"/>
    </xf>
    <xf numFmtId="166" fontId="11" fillId="0" borderId="0" xfId="1" applyNumberFormat="1" applyFont="1" applyFill="1" applyBorder="1" applyAlignment="1">
      <alignment horizontal="center"/>
    </xf>
    <xf numFmtId="0" fontId="3" fillId="0" borderId="4" xfId="0" applyFont="1" applyBorder="1"/>
    <xf numFmtId="0" fontId="0" fillId="0" borderId="4" xfId="0" applyBorder="1"/>
    <xf numFmtId="167" fontId="0" fillId="0" borderId="4" xfId="0" applyNumberFormat="1" applyBorder="1"/>
    <xf numFmtId="165" fontId="0" fillId="2" borderId="0" xfId="0" applyNumberFormat="1" applyFill="1" applyBorder="1"/>
    <xf numFmtId="165" fontId="0" fillId="2" borderId="1" xfId="0" applyNumberFormat="1" applyFill="1" applyBorder="1"/>
    <xf numFmtId="165" fontId="0" fillId="2" borderId="2" xfId="0" applyNumberFormat="1" applyFill="1" applyBorder="1"/>
    <xf numFmtId="168" fontId="9" fillId="0" borderId="0" xfId="0" applyNumberFormat="1" applyFont="1" applyBorder="1"/>
    <xf numFmtId="0" fontId="8" fillId="0" borderId="1" xfId="0" applyFont="1" applyFill="1" applyBorder="1"/>
    <xf numFmtId="0" fontId="0" fillId="0" borderId="1" xfId="0" applyFill="1" applyBorder="1"/>
    <xf numFmtId="166" fontId="0" fillId="0" borderId="1" xfId="0" applyNumberFormat="1" applyFill="1" applyBorder="1"/>
    <xf numFmtId="166" fontId="11" fillId="0" borderId="0" xfId="0" applyNumberFormat="1" applyFont="1" applyFill="1" applyBorder="1" applyAlignment="1">
      <alignment horizontal="center"/>
    </xf>
    <xf numFmtId="0" fontId="0" fillId="0" borderId="0" xfId="0" applyFill="1"/>
    <xf numFmtId="166" fontId="0" fillId="0" borderId="2" xfId="0" applyNumberFormat="1" applyFill="1" applyBorder="1"/>
    <xf numFmtId="166" fontId="0" fillId="0" borderId="3" xfId="0" applyNumberFormat="1" applyFill="1" applyBorder="1"/>
    <xf numFmtId="0" fontId="8" fillId="0" borderId="2" xfId="0" applyFont="1" applyFill="1" applyBorder="1"/>
    <xf numFmtId="0" fontId="0" fillId="0" borderId="2" xfId="0" applyFill="1" applyBorder="1"/>
    <xf numFmtId="0" fontId="8" fillId="0" borderId="3" xfId="0" applyFont="1" applyFill="1" applyBorder="1"/>
    <xf numFmtId="0" fontId="0" fillId="0" borderId="3" xfId="0" applyFill="1" applyBorder="1"/>
    <xf numFmtId="0" fontId="3" fillId="0" borderId="0" xfId="0" applyFont="1" applyFill="1" applyBorder="1"/>
    <xf numFmtId="0" fontId="6" fillId="0" borderId="2" xfId="0" applyFont="1" applyFill="1" applyBorder="1"/>
    <xf numFmtId="166" fontId="6" fillId="0" borderId="2" xfId="0" applyNumberFormat="1" applyFont="1" applyFill="1" applyBorder="1"/>
    <xf numFmtId="166" fontId="11" fillId="0" borderId="2" xfId="0" applyNumberFormat="1" applyFont="1" applyFill="1" applyBorder="1" applyAlignment="1">
      <alignment horizontal="center"/>
    </xf>
    <xf numFmtId="166" fontId="6" fillId="0" borderId="0" xfId="0" applyNumberFormat="1" applyFont="1" applyFill="1" applyBorder="1"/>
    <xf numFmtId="0" fontId="0" fillId="0" borderId="0" xfId="0" applyFill="1" applyAlignment="1">
      <alignment horizontal="right"/>
    </xf>
    <xf numFmtId="2" fontId="0" fillId="0" borderId="3" xfId="0" applyNumberFormat="1" applyBorder="1"/>
    <xf numFmtId="2" fontId="7" fillId="0" borderId="0" xfId="0" applyNumberFormat="1" applyFont="1" applyFill="1" applyBorder="1"/>
    <xf numFmtId="0" fontId="10" fillId="0" borderId="0" xfId="0" applyFont="1"/>
    <xf numFmtId="167" fontId="0" fillId="0" borderId="0" xfId="0" applyNumberFormat="1" applyBorder="1"/>
    <xf numFmtId="167" fontId="0" fillId="0" borderId="1" xfId="0" applyNumberFormat="1" applyBorder="1"/>
    <xf numFmtId="167" fontId="0" fillId="0" borderId="2" xfId="0" applyNumberFormat="1" applyBorder="1"/>
    <xf numFmtId="0" fontId="6" fillId="0" borderId="0" xfId="0" applyFont="1" applyBorder="1"/>
    <xf numFmtId="0" fontId="3" fillId="0" borderId="4" xfId="0" applyFont="1" applyFill="1" applyBorder="1"/>
    <xf numFmtId="0" fontId="0" fillId="0" borderId="4" xfId="0" applyFill="1" applyBorder="1"/>
    <xf numFmtId="167" fontId="0" fillId="0" borderId="3" xfId="0" applyNumberFormat="1" applyBorder="1"/>
    <xf numFmtId="167" fontId="3" fillId="0" borderId="0" xfId="0" applyNumberFormat="1" applyFont="1" applyBorder="1"/>
    <xf numFmtId="167" fontId="6" fillId="0" borderId="1" xfId="0" applyNumberFormat="1" applyFont="1" applyFill="1" applyBorder="1"/>
    <xf numFmtId="167" fontId="0" fillId="0" borderId="0" xfId="0" applyNumberFormat="1" applyFill="1"/>
    <xf numFmtId="167" fontId="0" fillId="0" borderId="3" xfId="0" applyNumberFormat="1" applyFill="1" applyBorder="1"/>
    <xf numFmtId="165" fontId="11" fillId="0" borderId="0" xfId="1" applyFont="1" applyBorder="1" applyAlignment="1">
      <alignment horizontal="center"/>
    </xf>
    <xf numFmtId="165" fontId="11" fillId="0" borderId="1" xfId="1" applyFont="1" applyBorder="1" applyAlignment="1">
      <alignment horizontal="center"/>
    </xf>
    <xf numFmtId="165" fontId="11" fillId="0" borderId="2" xfId="1" applyFont="1" applyBorder="1" applyAlignment="1">
      <alignment horizontal="center"/>
    </xf>
    <xf numFmtId="165" fontId="11" fillId="0" borderId="3" xfId="1" applyFont="1" applyBorder="1" applyAlignment="1">
      <alignment horizontal="center"/>
    </xf>
    <xf numFmtId="2" fontId="7" fillId="3" borderId="0" xfId="0" applyNumberFormat="1" applyFont="1" applyFill="1" applyBorder="1"/>
    <xf numFmtId="2" fontId="7" fillId="3" borderId="1" xfId="0" applyNumberFormat="1" applyFont="1" applyFill="1" applyBorder="1"/>
    <xf numFmtId="0" fontId="13" fillId="3" borderId="0" xfId="0" applyFont="1" applyFill="1"/>
    <xf numFmtId="0" fontId="3" fillId="0" borderId="0" xfId="0" applyFont="1" applyFill="1" applyBorder="1" applyAlignment="1">
      <alignment horizontal="right"/>
    </xf>
    <xf numFmtId="10" fontId="6" fillId="0" borderId="0" xfId="0" applyNumberFormat="1" applyFont="1" applyFill="1" applyBorder="1" applyAlignment="1">
      <alignment horizontal="right"/>
    </xf>
    <xf numFmtId="167" fontId="0" fillId="0" borderId="0" xfId="0" applyNumberFormat="1" applyFill="1" applyBorder="1" applyAlignment="1">
      <alignment horizontal="right"/>
    </xf>
    <xf numFmtId="0" fontId="0" fillId="0" borderId="0" xfId="0" applyFill="1" applyBorder="1" applyAlignment="1">
      <alignment horizontal="right"/>
    </xf>
    <xf numFmtId="0" fontId="6" fillId="0" borderId="0" xfId="0" applyFont="1" applyFill="1" applyBorder="1" applyAlignment="1">
      <alignment horizontal="right"/>
    </xf>
    <xf numFmtId="168" fontId="9" fillId="0" borderId="0" xfId="0" applyNumberFormat="1" applyFont="1" applyFill="1" applyBorder="1"/>
    <xf numFmtId="0" fontId="6" fillId="0" borderId="0" xfId="0" applyFont="1" applyFill="1" applyAlignment="1">
      <alignment horizontal="right"/>
    </xf>
    <xf numFmtId="167" fontId="0" fillId="3" borderId="0" xfId="0" applyNumberFormat="1" applyFill="1" applyBorder="1"/>
    <xf numFmtId="167" fontId="0" fillId="3" borderId="1" xfId="0" applyNumberFormat="1" applyFill="1" applyBorder="1"/>
    <xf numFmtId="167" fontId="0" fillId="3" borderId="2" xfId="0" applyNumberFormat="1" applyFill="1" applyBorder="1"/>
    <xf numFmtId="167" fontId="6" fillId="3" borderId="1" xfId="0" applyNumberFormat="1" applyFont="1" applyFill="1" applyBorder="1"/>
    <xf numFmtId="167" fontId="0" fillId="3" borderId="0" xfId="0" applyNumberFormat="1" applyFill="1"/>
    <xf numFmtId="165" fontId="11" fillId="0" borderId="0" xfId="1" applyFont="1" applyFill="1" applyBorder="1" applyAlignment="1">
      <alignment horizontal="center"/>
    </xf>
    <xf numFmtId="166" fontId="10" fillId="0" borderId="0" xfId="1" applyNumberFormat="1" applyFont="1" applyFill="1" applyBorder="1" applyAlignment="1">
      <alignment horizontal="center"/>
    </xf>
    <xf numFmtId="0" fontId="6" fillId="0" borderId="0" xfId="0" applyFont="1" applyBorder="1" applyAlignment="1">
      <alignment horizontal="center"/>
    </xf>
    <xf numFmtId="167" fontId="0" fillId="0" borderId="0" xfId="0" applyNumberFormat="1" applyFill="1" applyBorder="1"/>
    <xf numFmtId="167" fontId="0" fillId="0" borderId="1" xfId="0" applyNumberFormat="1" applyFill="1" applyBorder="1"/>
    <xf numFmtId="167" fontId="0" fillId="0" borderId="2" xfId="0" applyNumberFormat="1" applyFill="1" applyBorder="1"/>
    <xf numFmtId="167" fontId="3" fillId="0" borderId="0" xfId="0" applyNumberFormat="1" applyFont="1" applyBorder="1" applyAlignment="1">
      <alignment horizontal="center"/>
    </xf>
    <xf numFmtId="166" fontId="6" fillId="0" borderId="0" xfId="0" applyNumberFormat="1" applyFont="1" applyBorder="1" applyAlignment="1">
      <alignment horizontal="center"/>
    </xf>
    <xf numFmtId="166" fontId="0" fillId="0" borderId="0" xfId="0" applyNumberFormat="1" applyBorder="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6" fillId="0" borderId="1" xfId="0" applyNumberFormat="1" applyFont="1" applyBorder="1" applyAlignment="1">
      <alignment horizontal="center"/>
    </xf>
    <xf numFmtId="0" fontId="6" fillId="0" borderId="1" xfId="0" applyFont="1" applyBorder="1" applyAlignment="1">
      <alignment horizontal="center"/>
    </xf>
    <xf numFmtId="166" fontId="6" fillId="0" borderId="2" xfId="0" applyNumberFormat="1" applyFont="1" applyBorder="1" applyAlignment="1">
      <alignment horizontal="center"/>
    </xf>
    <xf numFmtId="0" fontId="6" fillId="0" borderId="2" xfId="0" applyFont="1" applyBorder="1" applyAlignment="1">
      <alignment horizontal="center"/>
    </xf>
    <xf numFmtId="2" fontId="6" fillId="0" borderId="1" xfId="0" applyNumberFormat="1" applyFont="1" applyBorder="1" applyAlignment="1">
      <alignment horizontal="center"/>
    </xf>
    <xf numFmtId="0" fontId="3" fillId="0" borderId="2" xfId="0" applyFont="1" applyBorder="1"/>
    <xf numFmtId="167" fontId="6" fillId="0" borderId="0" xfId="0" applyNumberFormat="1" applyFont="1" applyBorder="1" applyAlignment="1">
      <alignment horizontal="center"/>
    </xf>
    <xf numFmtId="167" fontId="0" fillId="0" borderId="0" xfId="0" applyNumberFormat="1" applyBorder="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6" fillId="0" borderId="3" xfId="0" applyNumberFormat="1" applyFont="1" applyFill="1" applyBorder="1"/>
    <xf numFmtId="2" fontId="6" fillId="0" borderId="3" xfId="0" applyNumberFormat="1" applyFont="1" applyFill="1" applyBorder="1"/>
    <xf numFmtId="166" fontId="11" fillId="0" borderId="3" xfId="0" applyNumberFormat="1" applyFont="1" applyFill="1" applyBorder="1" applyAlignment="1">
      <alignment horizontal="center"/>
    </xf>
    <xf numFmtId="167" fontId="6" fillId="0" borderId="3" xfId="0" applyNumberFormat="1" applyFont="1" applyFill="1" applyBorder="1"/>
    <xf numFmtId="166" fontId="6" fillId="0" borderId="1" xfId="0" applyNumberFormat="1" applyFont="1" applyFill="1" applyBorder="1"/>
    <xf numFmtId="166" fontId="6" fillId="0" borderId="4" xfId="0" applyNumberFormat="1" applyFont="1" applyFill="1" applyBorder="1"/>
    <xf numFmtId="2" fontId="6" fillId="0" borderId="0" xfId="0" applyNumberFormat="1" applyFont="1" applyBorder="1"/>
    <xf numFmtId="2" fontId="6" fillId="0" borderId="1" xfId="0" applyNumberFormat="1" applyFont="1" applyBorder="1"/>
    <xf numFmtId="2" fontId="6" fillId="0" borderId="2" xfId="0" applyNumberFormat="1" applyFont="1" applyBorder="1"/>
    <xf numFmtId="2" fontId="6" fillId="0" borderId="0" xfId="0" applyNumberFormat="1" applyFont="1" applyFill="1" applyBorder="1"/>
    <xf numFmtId="2" fontId="6" fillId="0" borderId="1" xfId="0" applyNumberFormat="1" applyFont="1" applyFill="1" applyBorder="1"/>
    <xf numFmtId="2" fontId="6" fillId="0" borderId="2" xfId="0" applyNumberFormat="1" applyFont="1" applyFill="1" applyBorder="1"/>
    <xf numFmtId="167" fontId="0" fillId="0" borderId="4" xfId="0" applyNumberFormat="1" applyFill="1" applyBorder="1"/>
    <xf numFmtId="167" fontId="6" fillId="0" borderId="0" xfId="0" applyNumberFormat="1" applyFont="1" applyFill="1" applyBorder="1"/>
    <xf numFmtId="166" fontId="11" fillId="0" borderId="1" xfId="1" applyNumberFormat="1" applyFont="1" applyFill="1" applyBorder="1" applyAlignment="1">
      <alignment horizontal="center"/>
    </xf>
    <xf numFmtId="166" fontId="11" fillId="0" borderId="2" xfId="1" applyNumberFormat="1" applyFont="1" applyFill="1" applyBorder="1" applyAlignment="1">
      <alignment horizontal="center"/>
    </xf>
    <xf numFmtId="167" fontId="6" fillId="0" borderId="2" xfId="0" applyNumberFormat="1" applyFont="1" applyFill="1" applyBorder="1"/>
    <xf numFmtId="0" fontId="0" fillId="0" borderId="0" xfId="0" applyAlignment="1">
      <alignment vertical="top"/>
    </xf>
    <xf numFmtId="0" fontId="6" fillId="0" borderId="0" xfId="0" applyFont="1" applyFill="1"/>
    <xf numFmtId="9" fontId="0" fillId="0" borderId="0" xfId="0" applyNumberFormat="1" applyFill="1"/>
    <xf numFmtId="167" fontId="6" fillId="0" borderId="0" xfId="0" applyNumberFormat="1" applyFont="1" applyFill="1"/>
    <xf numFmtId="167" fontId="6" fillId="0" borderId="4" xfId="0" applyNumberFormat="1" applyFont="1" applyFill="1" applyBorder="1"/>
    <xf numFmtId="166" fontId="1" fillId="0" borderId="0" xfId="0" applyNumberFormat="1" applyFont="1" applyFill="1" applyBorder="1"/>
    <xf numFmtId="2" fontId="1" fillId="0" borderId="2" xfId="0" applyNumberFormat="1" applyFont="1" applyFill="1" applyBorder="1"/>
    <xf numFmtId="2" fontId="1" fillId="0" borderId="0" xfId="0" applyNumberFormat="1" applyFont="1" applyFill="1" applyBorder="1"/>
    <xf numFmtId="166" fontId="1" fillId="0" borderId="1" xfId="0" applyNumberFormat="1" applyFont="1" applyFill="1" applyBorder="1"/>
    <xf numFmtId="2" fontId="1" fillId="0" borderId="1" xfId="0" applyNumberFormat="1" applyFont="1" applyFill="1" applyBorder="1"/>
    <xf numFmtId="166" fontId="1" fillId="0" borderId="3" xfId="0" applyNumberFormat="1" applyFont="1" applyFill="1" applyBorder="1"/>
    <xf numFmtId="2" fontId="1" fillId="0" borderId="3" xfId="0" applyNumberFormat="1" applyFont="1" applyFill="1" applyBorder="1"/>
    <xf numFmtId="166" fontId="15" fillId="0" borderId="0" xfId="1" applyNumberFormat="1" applyFont="1" applyFill="1" applyBorder="1" applyAlignment="1">
      <alignment horizontal="center"/>
    </xf>
    <xf numFmtId="166" fontId="15" fillId="0" borderId="1" xfId="1" applyNumberFormat="1" applyFont="1" applyFill="1" applyBorder="1" applyAlignment="1">
      <alignment horizontal="center"/>
    </xf>
    <xf numFmtId="166" fontId="15" fillId="0" borderId="2" xfId="1" applyNumberFormat="1" applyFont="1" applyFill="1" applyBorder="1" applyAlignment="1">
      <alignment horizontal="center"/>
    </xf>
    <xf numFmtId="166" fontId="15" fillId="0" borderId="0" xfId="0" applyNumberFormat="1" applyFont="1" applyFill="1" applyBorder="1" applyAlignment="1">
      <alignment horizontal="center"/>
    </xf>
    <xf numFmtId="166" fontId="15" fillId="0" borderId="2" xfId="0" applyNumberFormat="1" applyFont="1" applyFill="1" applyBorder="1" applyAlignment="1">
      <alignment horizontal="center"/>
    </xf>
    <xf numFmtId="166" fontId="15" fillId="0" borderId="3" xfId="0" applyNumberFormat="1" applyFont="1" applyFill="1" applyBorder="1" applyAlignment="1">
      <alignment horizontal="center"/>
    </xf>
    <xf numFmtId="2" fontId="7" fillId="3" borderId="2" xfId="0" applyNumberFormat="1" applyFont="1" applyFill="1" applyBorder="1"/>
    <xf numFmtId="166" fontId="7" fillId="3" borderId="0" xfId="0" applyNumberFormat="1" applyFont="1" applyFill="1" applyBorder="1"/>
    <xf numFmtId="166" fontId="7" fillId="3" borderId="1" xfId="0" applyNumberFormat="1" applyFont="1" applyFill="1" applyBorder="1"/>
    <xf numFmtId="166" fontId="7" fillId="3" borderId="2" xfId="0" applyNumberFormat="1" applyFont="1" applyFill="1" applyBorder="1"/>
    <xf numFmtId="166" fontId="1" fillId="4" borderId="0" xfId="0" applyNumberFormat="1" applyFont="1" applyFill="1" applyBorder="1"/>
    <xf numFmtId="166" fontId="11" fillId="4" borderId="0" xfId="1" applyNumberFormat="1" applyFont="1" applyFill="1" applyBorder="1" applyAlignment="1">
      <alignment horizontal="center"/>
    </xf>
    <xf numFmtId="167" fontId="1" fillId="3" borderId="0" xfId="0" applyNumberFormat="1" applyFont="1" applyFill="1" applyBorder="1"/>
    <xf numFmtId="0" fontId="1" fillId="4" borderId="0" xfId="0" applyFont="1" applyFill="1"/>
    <xf numFmtId="167" fontId="1" fillId="0" borderId="2" xfId="0" applyNumberFormat="1" applyFont="1" applyFill="1" applyBorder="1"/>
    <xf numFmtId="166" fontId="11" fillId="0" borderId="1" xfId="0" applyNumberFormat="1" applyFont="1" applyFill="1" applyBorder="1" applyAlignment="1">
      <alignment horizontal="center"/>
    </xf>
    <xf numFmtId="166" fontId="1" fillId="4" borderId="1" xfId="0" applyNumberFormat="1" applyFont="1" applyFill="1" applyBorder="1"/>
    <xf numFmtId="0" fontId="3" fillId="0" borderId="3" xfId="0" applyFont="1" applyBorder="1" applyAlignment="1">
      <alignment horizontal="left"/>
    </xf>
    <xf numFmtId="0" fontId="10" fillId="0" borderId="3" xfId="0" applyFont="1" applyBorder="1" applyAlignment="1">
      <alignment horizontal="center"/>
    </xf>
    <xf numFmtId="0" fontId="3" fillId="0" borderId="3" xfId="0" applyFont="1" applyBorder="1"/>
    <xf numFmtId="0" fontId="1" fillId="0" borderId="0" xfId="0" applyFont="1" applyAlignment="1">
      <alignment wrapText="1"/>
    </xf>
    <xf numFmtId="0" fontId="1" fillId="0" borderId="0" xfId="0" applyFont="1" applyFill="1" applyBorder="1"/>
    <xf numFmtId="0" fontId="0" fillId="0" borderId="5" xfId="0" applyBorder="1"/>
    <xf numFmtId="166" fontId="0" fillId="0" borderId="5" xfId="0" applyNumberFormat="1" applyFill="1" applyBorder="1"/>
    <xf numFmtId="0" fontId="0" fillId="5" borderId="5" xfId="0" applyFill="1" applyBorder="1"/>
    <xf numFmtId="166" fontId="0" fillId="4" borderId="5" xfId="0" applyNumberFormat="1" applyFill="1" applyBorder="1"/>
    <xf numFmtId="172" fontId="0" fillId="0" borderId="5" xfId="1" applyNumberFormat="1" applyFont="1" applyBorder="1"/>
    <xf numFmtId="0" fontId="3" fillId="0" borderId="5" xfId="0" applyFont="1" applyBorder="1"/>
    <xf numFmtId="166" fontId="6" fillId="4" borderId="1" xfId="0" applyNumberFormat="1" applyFont="1" applyFill="1" applyBorder="1"/>
    <xf numFmtId="0" fontId="1" fillId="0" borderId="5" xfId="0" applyFont="1" applyBorder="1"/>
    <xf numFmtId="0" fontId="1" fillId="0" borderId="6" xfId="0" applyFont="1" applyFill="1" applyBorder="1"/>
    <xf numFmtId="0" fontId="1" fillId="6" borderId="0" xfId="0" applyFont="1" applyFill="1"/>
    <xf numFmtId="166" fontId="1" fillId="6" borderId="0" xfId="0" applyNumberFormat="1" applyFont="1" applyFill="1" applyBorder="1"/>
    <xf numFmtId="166" fontId="1" fillId="6" borderId="3" xfId="0" applyNumberFormat="1" applyFont="1" applyFill="1" applyBorder="1"/>
    <xf numFmtId="0" fontId="21" fillId="0" borderId="0" xfId="0" applyFont="1"/>
    <xf numFmtId="0" fontId="0" fillId="7" borderId="0" xfId="0" applyFill="1"/>
    <xf numFmtId="0" fontId="0" fillId="0" borderId="6" xfId="0" applyFill="1"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2" fontId="0" fillId="0" borderId="6" xfId="0" applyNumberFormat="1" applyBorder="1" applyAlignment="1">
      <alignment horizontal="center"/>
    </xf>
    <xf numFmtId="2" fontId="0" fillId="0" borderId="9" xfId="0" applyNumberFormat="1" applyBorder="1" applyAlignment="1">
      <alignment horizontal="center"/>
    </xf>
    <xf numFmtId="166" fontId="0" fillId="0" borderId="6" xfId="0" applyNumberFormat="1" applyBorder="1"/>
    <xf numFmtId="0" fontId="37" fillId="0" borderId="8" xfId="0" applyFont="1" applyBorder="1" applyAlignment="1">
      <alignment horizontal="center" wrapText="1"/>
    </xf>
    <xf numFmtId="0" fontId="37" fillId="0" borderId="1" xfId="0" applyFont="1" applyBorder="1" applyAlignment="1">
      <alignment horizontal="center" wrapText="1"/>
    </xf>
    <xf numFmtId="0" fontId="0" fillId="8" borderId="10" xfId="0" applyFill="1" applyBorder="1" applyAlignment="1">
      <alignment horizontal="center"/>
    </xf>
    <xf numFmtId="0" fontId="0" fillId="8" borderId="11" xfId="0" applyFill="1" applyBorder="1" applyAlignment="1">
      <alignment horizontal="center"/>
    </xf>
    <xf numFmtId="0" fontId="0" fillId="0" borderId="7" xfId="0" applyBorder="1"/>
    <xf numFmtId="0" fontId="0" fillId="0" borderId="10" xfId="0" applyBorder="1"/>
    <xf numFmtId="0" fontId="0" fillId="0" borderId="8" xfId="0" applyBorder="1"/>
    <xf numFmtId="0" fontId="0" fillId="0" borderId="11" xfId="0" applyBorder="1"/>
    <xf numFmtId="2" fontId="0" fillId="8" borderId="6" xfId="0" applyNumberFormat="1" applyFill="1" applyBorder="1" applyAlignment="1">
      <alignment horizontal="center"/>
    </xf>
    <xf numFmtId="2" fontId="0" fillId="8" borderId="9" xfId="0" applyNumberFormat="1" applyFill="1" applyBorder="1" applyAlignment="1">
      <alignment horizontal="center"/>
    </xf>
    <xf numFmtId="0" fontId="1" fillId="8" borderId="11" xfId="0" applyFont="1" applyFill="1" applyBorder="1" applyAlignment="1">
      <alignment horizontal="center" wrapText="1"/>
    </xf>
    <xf numFmtId="0" fontId="0" fillId="0" borderId="7" xfId="0" applyBorder="1" applyAlignment="1">
      <alignment horizontal="right"/>
    </xf>
    <xf numFmtId="166" fontId="1" fillId="8" borderId="0" xfId="0" applyNumberFormat="1" applyFont="1" applyFill="1" applyBorder="1"/>
    <xf numFmtId="166" fontId="1" fillId="7" borderId="0" xfId="0" applyNumberFormat="1" applyFont="1" applyFill="1" applyBorder="1"/>
    <xf numFmtId="166" fontId="38" fillId="7" borderId="0" xfId="0" applyNumberFormat="1" applyFont="1" applyFill="1" applyBorder="1"/>
    <xf numFmtId="166" fontId="1" fillId="8" borderId="1" xfId="0" applyNumberFormat="1" applyFont="1" applyFill="1" applyBorder="1"/>
    <xf numFmtId="0" fontId="3" fillId="0" borderId="3" xfId="0" applyFont="1" applyBorder="1" applyAlignment="1">
      <alignment horizontal="center"/>
    </xf>
    <xf numFmtId="0" fontId="1" fillId="0" borderId="0" xfId="0" applyFont="1"/>
    <xf numFmtId="0" fontId="1" fillId="8" borderId="0" xfId="0" applyFont="1" applyFill="1" applyAlignment="1">
      <alignment wrapText="1"/>
    </xf>
    <xf numFmtId="0" fontId="0" fillId="8" borderId="0" xfId="0" applyFill="1"/>
    <xf numFmtId="9" fontId="0" fillId="8" borderId="0" xfId="0" applyNumberFormat="1" applyFill="1"/>
    <xf numFmtId="0" fontId="0" fillId="7" borderId="0" xfId="0" applyFill="1" applyAlignment="1">
      <alignment vertical="top" wrapText="1"/>
    </xf>
    <xf numFmtId="9" fontId="0" fillId="7" borderId="0" xfId="0" applyNumberFormat="1" applyFill="1"/>
    <xf numFmtId="0" fontId="1" fillId="7" borderId="0" xfId="0" applyFont="1" applyFill="1" applyAlignment="1">
      <alignment vertical="top" wrapText="1"/>
    </xf>
    <xf numFmtId="0" fontId="1" fillId="8" borderId="0" xfId="0" applyFont="1" applyFill="1" applyAlignment="1">
      <alignment vertical="top" wrapText="1"/>
    </xf>
    <xf numFmtId="0" fontId="37" fillId="7" borderId="0" xfId="0" applyFont="1" applyFill="1" applyAlignment="1">
      <alignment vertical="top" wrapText="1"/>
    </xf>
    <xf numFmtId="0" fontId="0" fillId="0" borderId="9" xfId="0" applyFill="1" applyBorder="1" applyAlignment="1">
      <alignment horizontal="center"/>
    </xf>
    <xf numFmtId="166" fontId="0" fillId="0" borderId="9" xfId="0" applyNumberFormat="1" applyBorder="1"/>
    <xf numFmtId="2" fontId="0" fillId="0" borderId="10" xfId="0" applyNumberFormat="1" applyBorder="1"/>
    <xf numFmtId="166" fontId="1" fillId="3" borderId="0" xfId="0" applyNumberFormat="1" applyFont="1" applyFill="1" applyBorder="1"/>
    <xf numFmtId="166" fontId="1" fillId="3" borderId="1" xfId="0" applyNumberFormat="1" applyFont="1" applyFill="1" applyBorder="1"/>
    <xf numFmtId="166" fontId="1" fillId="3" borderId="2" xfId="0" applyNumberFormat="1" applyFont="1" applyFill="1" applyBorder="1"/>
    <xf numFmtId="167" fontId="1" fillId="3" borderId="1" xfId="0" applyNumberFormat="1" applyFont="1" applyFill="1" applyBorder="1"/>
    <xf numFmtId="167" fontId="1" fillId="3" borderId="2" xfId="0" applyNumberFormat="1" applyFont="1" applyFill="1" applyBorder="1"/>
    <xf numFmtId="167" fontId="1" fillId="3" borderId="0" xfId="0" applyNumberFormat="1" applyFont="1" applyFill="1"/>
    <xf numFmtId="0" fontId="3" fillId="0" borderId="7" xfId="0" applyFont="1" applyBorder="1" applyAlignment="1">
      <alignment horizontal="right"/>
    </xf>
    <xf numFmtId="170" fontId="0" fillId="0" borderId="7" xfId="0" applyNumberFormat="1" applyBorder="1" applyAlignment="1">
      <alignment horizontal="center"/>
    </xf>
    <xf numFmtId="0" fontId="1" fillId="0" borderId="0" xfId="0" applyFont="1" applyFill="1" applyAlignment="1">
      <alignment wrapText="1"/>
    </xf>
    <xf numFmtId="166" fontId="1" fillId="9" borderId="1" xfId="0" applyNumberFormat="1" applyFont="1" applyFill="1" applyBorder="1"/>
    <xf numFmtId="0" fontId="4" fillId="0" borderId="0" xfId="0" applyFont="1"/>
    <xf numFmtId="0" fontId="4" fillId="9" borderId="0" xfId="0" applyFont="1" applyFill="1"/>
    <xf numFmtId="166" fontId="1" fillId="9" borderId="0" xfId="0" applyNumberFormat="1" applyFont="1" applyFill="1" applyBorder="1"/>
    <xf numFmtId="173" fontId="0" fillId="0" borderId="7" xfId="1" applyNumberFormat="1" applyFont="1" applyBorder="1" applyAlignment="1">
      <alignment horizontal="center"/>
    </xf>
    <xf numFmtId="166" fontId="1" fillId="9" borderId="3" xfId="0" applyNumberFormat="1" applyFont="1" applyFill="1" applyBorder="1"/>
    <xf numFmtId="0" fontId="38" fillId="0" borderId="0" xfId="0" applyFont="1" applyBorder="1"/>
    <xf numFmtId="0" fontId="39" fillId="10" borderId="0" xfId="0" applyFont="1" applyFill="1" applyBorder="1"/>
    <xf numFmtId="0" fontId="38" fillId="10" borderId="0" xfId="0" applyFont="1" applyFill="1" applyBorder="1"/>
    <xf numFmtId="0" fontId="40" fillId="0" borderId="0" xfId="0" applyFont="1" applyBorder="1"/>
    <xf numFmtId="0" fontId="40" fillId="10" borderId="1" xfId="0" applyFont="1" applyFill="1" applyBorder="1"/>
    <xf numFmtId="0" fontId="38" fillId="10" borderId="1" xfId="0" applyFont="1" applyFill="1" applyBorder="1"/>
    <xf numFmtId="0" fontId="40" fillId="0" borderId="2" xfId="0" applyFont="1" applyBorder="1"/>
    <xf numFmtId="0" fontId="40" fillId="10" borderId="0" xfId="0" applyFont="1" applyFill="1" applyBorder="1"/>
    <xf numFmtId="0" fontId="40" fillId="0" borderId="3" xfId="0" applyFont="1" applyBorder="1"/>
    <xf numFmtId="0" fontId="38" fillId="0" borderId="3" xfId="0" applyFont="1" applyBorder="1"/>
    <xf numFmtId="0" fontId="38" fillId="0" borderId="2" xfId="0" applyFont="1" applyBorder="1"/>
    <xf numFmtId="0" fontId="40" fillId="0" borderId="1" xfId="0" applyFont="1" applyBorder="1"/>
    <xf numFmtId="0" fontId="40" fillId="10" borderId="2" xfId="0" applyFont="1" applyFill="1" applyBorder="1"/>
    <xf numFmtId="0" fontId="38" fillId="10" borderId="2" xfId="0" applyFont="1" applyFill="1" applyBorder="1"/>
    <xf numFmtId="166" fontId="1" fillId="3" borderId="3" xfId="0" applyNumberFormat="1" applyFont="1" applyFill="1" applyBorder="1"/>
    <xf numFmtId="167" fontId="1" fillId="3" borderId="3" xfId="0" applyNumberFormat="1" applyFont="1" applyFill="1" applyBorder="1"/>
    <xf numFmtId="0" fontId="4" fillId="4" borderId="0" xfId="0" applyFont="1" applyFill="1"/>
    <xf numFmtId="0" fontId="1" fillId="9" borderId="0" xfId="0" applyFont="1" applyFill="1" applyBorder="1"/>
    <xf numFmtId="0" fontId="1" fillId="4" borderId="0" xfId="0" applyFont="1" applyFill="1" applyBorder="1"/>
    <xf numFmtId="0" fontId="0" fillId="11" borderId="0" xfId="0" applyFill="1"/>
    <xf numFmtId="166" fontId="1" fillId="11" borderId="1" xfId="0" applyNumberFormat="1" applyFont="1" applyFill="1" applyBorder="1"/>
    <xf numFmtId="166" fontId="1" fillId="11" borderId="0" xfId="0" applyNumberFormat="1" applyFont="1" applyFill="1" applyBorder="1"/>
    <xf numFmtId="0" fontId="4" fillId="11" borderId="0" xfId="0" applyFont="1" applyFill="1"/>
    <xf numFmtId="0" fontId="0" fillId="12" borderId="6" xfId="0" applyFill="1" applyBorder="1" applyAlignment="1">
      <alignment horizontal="center"/>
    </xf>
    <xf numFmtId="0" fontId="1" fillId="0" borderId="2" xfId="0" applyFont="1" applyBorder="1"/>
    <xf numFmtId="166" fontId="1" fillId="0" borderId="2" xfId="0" applyNumberFormat="1" applyFont="1" applyFill="1" applyBorder="1"/>
    <xf numFmtId="166" fontId="1" fillId="0" borderId="4" xfId="0" applyNumberFormat="1" applyFont="1" applyFill="1" applyBorder="1"/>
    <xf numFmtId="2" fontId="1" fillId="0" borderId="0" xfId="0" applyNumberFormat="1" applyFont="1" applyBorder="1"/>
    <xf numFmtId="2" fontId="1" fillId="0" borderId="1" xfId="0" applyNumberFormat="1" applyFont="1" applyBorder="1"/>
    <xf numFmtId="2" fontId="1" fillId="0" borderId="2" xfId="0" applyNumberFormat="1" applyFont="1" applyBorder="1"/>
    <xf numFmtId="166" fontId="38" fillId="10" borderId="4" xfId="0" applyNumberFormat="1" applyFont="1" applyFill="1" applyBorder="1"/>
    <xf numFmtId="0" fontId="38" fillId="10" borderId="4" xfId="0" applyFont="1" applyFill="1" applyBorder="1"/>
    <xf numFmtId="167" fontId="38" fillId="10" borderId="4" xfId="0" applyNumberFormat="1" applyFont="1" applyFill="1" applyBorder="1"/>
    <xf numFmtId="166" fontId="38" fillId="0" borderId="0" xfId="0" applyNumberFormat="1" applyFont="1" applyBorder="1"/>
    <xf numFmtId="167" fontId="38" fillId="0" borderId="0" xfId="0" applyNumberFormat="1" applyFont="1" applyBorder="1"/>
    <xf numFmtId="166" fontId="38" fillId="10" borderId="1" xfId="0" applyNumberFormat="1" applyFont="1" applyFill="1" applyBorder="1"/>
    <xf numFmtId="167" fontId="38" fillId="10" borderId="1" xfId="0" applyNumberFormat="1" applyFont="1" applyFill="1" applyBorder="1"/>
    <xf numFmtId="0" fontId="38" fillId="0" borderId="0" xfId="0" applyFont="1" applyBorder="1"/>
    <xf numFmtId="166" fontId="38" fillId="10" borderId="0" xfId="0" applyNumberFormat="1" applyFont="1" applyFill="1" applyBorder="1"/>
    <xf numFmtId="167" fontId="38" fillId="10" borderId="0" xfId="0" applyNumberFormat="1" applyFont="1" applyFill="1" applyBorder="1"/>
    <xf numFmtId="0" fontId="38" fillId="0" borderId="1" xfId="0" applyFont="1" applyBorder="1"/>
    <xf numFmtId="166" fontId="38" fillId="0" borderId="1" xfId="0" applyNumberFormat="1" applyFont="1" applyBorder="1"/>
    <xf numFmtId="167" fontId="38" fillId="0" borderId="1" xfId="0" applyNumberFormat="1" applyFont="1" applyBorder="1"/>
    <xf numFmtId="166" fontId="38" fillId="10" borderId="2" xfId="0" applyNumberFormat="1" applyFont="1" applyFill="1" applyBorder="1"/>
    <xf numFmtId="167" fontId="38" fillId="10" borderId="2" xfId="0" applyNumberFormat="1" applyFont="1" applyFill="1" applyBorder="1"/>
    <xf numFmtId="0" fontId="38" fillId="0" borderId="0" xfId="0" applyFont="1" applyBorder="1"/>
    <xf numFmtId="166" fontId="38" fillId="0" borderId="3" xfId="0" applyNumberFormat="1" applyFont="1" applyBorder="1"/>
    <xf numFmtId="167" fontId="38" fillId="0" borderId="3" xfId="0" applyNumberFormat="1" applyFont="1" applyBorder="1"/>
    <xf numFmtId="0" fontId="4" fillId="0" borderId="0" xfId="0" applyFont="1" applyFill="1"/>
    <xf numFmtId="0" fontId="27" fillId="0" borderId="7" xfId="0" applyFont="1" applyBorder="1"/>
    <xf numFmtId="0" fontId="27" fillId="0" borderId="10" xfId="0" applyFont="1" applyBorder="1"/>
    <xf numFmtId="0" fontId="27" fillId="0" borderId="6" xfId="0" applyFont="1" applyFill="1" applyBorder="1" applyAlignment="1">
      <alignment horizontal="center"/>
    </xf>
    <xf numFmtId="170" fontId="27" fillId="0" borderId="7" xfId="0" applyNumberFormat="1" applyFont="1" applyBorder="1" applyAlignment="1">
      <alignment horizontal="center"/>
    </xf>
    <xf numFmtId="0" fontId="27" fillId="0" borderId="0" xfId="0" applyFont="1" applyBorder="1" applyAlignment="1">
      <alignment horizontal="center"/>
    </xf>
    <xf numFmtId="0" fontId="27" fillId="8" borderId="10" xfId="0" applyFont="1" applyFill="1" applyBorder="1" applyAlignment="1">
      <alignment horizontal="center"/>
    </xf>
    <xf numFmtId="2" fontId="27" fillId="0" borderId="6" xfId="0" applyNumberFormat="1" applyFont="1" applyBorder="1" applyAlignment="1">
      <alignment horizontal="center"/>
    </xf>
    <xf numFmtId="2" fontId="27" fillId="8" borderId="6" xfId="0" applyNumberFormat="1" applyFont="1" applyFill="1" applyBorder="1" applyAlignment="1">
      <alignment horizontal="center"/>
    </xf>
    <xf numFmtId="166" fontId="27" fillId="0" borderId="6" xfId="0" applyNumberFormat="1" applyFont="1" applyBorder="1"/>
    <xf numFmtId="2" fontId="27" fillId="0" borderId="10" xfId="0" applyNumberFormat="1" applyFont="1" applyBorder="1"/>
    <xf numFmtId="0" fontId="27" fillId="7" borderId="6" xfId="0" applyFont="1" applyFill="1" applyBorder="1" applyAlignment="1">
      <alignment horizontal="center"/>
    </xf>
    <xf numFmtId="0" fontId="27" fillId="0" borderId="8" xfId="0" applyFont="1" applyBorder="1"/>
    <xf numFmtId="0" fontId="27" fillId="0" borderId="11" xfId="0" applyFont="1" applyBorder="1"/>
    <xf numFmtId="0" fontId="27" fillId="0" borderId="9" xfId="0" applyFont="1" applyFill="1" applyBorder="1" applyAlignment="1">
      <alignment horizontal="center"/>
    </xf>
    <xf numFmtId="0" fontId="27" fillId="0" borderId="8" xfId="0" applyFont="1" applyBorder="1" applyAlignment="1">
      <alignment horizontal="center"/>
    </xf>
    <xf numFmtId="0" fontId="27" fillId="0" borderId="1" xfId="0" applyFont="1" applyBorder="1" applyAlignment="1">
      <alignment horizontal="center"/>
    </xf>
    <xf numFmtId="0" fontId="27" fillId="8" borderId="11" xfId="0" applyFont="1" applyFill="1" applyBorder="1" applyAlignment="1">
      <alignment horizontal="center"/>
    </xf>
    <xf numFmtId="2" fontId="27" fillId="0" borderId="9" xfId="0" applyNumberFormat="1" applyFont="1" applyBorder="1" applyAlignment="1">
      <alignment horizontal="center"/>
    </xf>
    <xf numFmtId="2" fontId="27" fillId="8" borderId="9" xfId="0" applyNumberFormat="1" applyFont="1" applyFill="1" applyBorder="1" applyAlignment="1">
      <alignment horizontal="center"/>
    </xf>
    <xf numFmtId="166" fontId="27" fillId="0" borderId="9" xfId="0" applyNumberFormat="1" applyFont="1" applyBorder="1"/>
    <xf numFmtId="0" fontId="26" fillId="0" borderId="7" xfId="0" applyFont="1" applyBorder="1" applyAlignment="1">
      <alignment horizontal="right"/>
    </xf>
    <xf numFmtId="0" fontId="41" fillId="0" borderId="8" xfId="0" applyFont="1" applyBorder="1" applyAlignment="1">
      <alignment horizontal="center" wrapText="1"/>
    </xf>
    <xf numFmtId="0" fontId="41" fillId="0" borderId="1" xfId="0" applyFont="1" applyBorder="1" applyAlignment="1">
      <alignment horizontal="center" wrapText="1"/>
    </xf>
    <xf numFmtId="0" fontId="27" fillId="8" borderId="11" xfId="0" applyFont="1" applyFill="1" applyBorder="1" applyAlignment="1">
      <alignment horizontal="center" wrapText="1"/>
    </xf>
    <xf numFmtId="169" fontId="27" fillId="0" borderId="0" xfId="0" applyNumberFormat="1" applyFont="1" applyFill="1" applyBorder="1"/>
    <xf numFmtId="0" fontId="4" fillId="13" borderId="0" xfId="0" applyFont="1" applyFill="1"/>
    <xf numFmtId="0" fontId="0" fillId="13" borderId="0" xfId="0" applyFill="1"/>
    <xf numFmtId="0" fontId="0" fillId="13" borderId="0" xfId="0" applyFill="1" applyAlignment="1">
      <alignment horizontal="center"/>
    </xf>
    <xf numFmtId="170" fontId="27" fillId="13" borderId="7" xfId="0" applyNumberFormat="1" applyFont="1" applyFill="1" applyBorder="1" applyAlignment="1">
      <alignment horizontal="center"/>
    </xf>
    <xf numFmtId="173" fontId="27" fillId="13" borderId="7" xfId="1" applyNumberFormat="1" applyFont="1" applyFill="1" applyBorder="1" applyAlignment="1">
      <alignment horizontal="center"/>
    </xf>
    <xf numFmtId="170" fontId="27" fillId="13" borderId="8" xfId="0" applyNumberFormat="1" applyFont="1" applyFill="1" applyBorder="1" applyAlignment="1">
      <alignment horizontal="center"/>
    </xf>
    <xf numFmtId="166" fontId="1" fillId="13" borderId="0" xfId="0" applyNumberFormat="1" applyFont="1" applyFill="1" applyBorder="1"/>
    <xf numFmtId="166" fontId="1" fillId="13" borderId="1" xfId="0" applyNumberFormat="1" applyFont="1" applyFill="1" applyBorder="1"/>
    <xf numFmtId="166" fontId="1" fillId="13" borderId="3" xfId="0" applyNumberFormat="1" applyFont="1" applyFill="1" applyBorder="1"/>
    <xf numFmtId="0" fontId="29" fillId="13" borderId="0" xfId="0" applyFont="1" applyFill="1"/>
    <xf numFmtId="0" fontId="29" fillId="13" borderId="0" xfId="0" applyFont="1" applyFill="1" applyAlignment="1">
      <alignment horizontal="center"/>
    </xf>
    <xf numFmtId="0" fontId="29" fillId="11" borderId="0" xfId="0" applyFont="1" applyFill="1"/>
    <xf numFmtId="0" fontId="29" fillId="11" borderId="0" xfId="0" applyFont="1" applyFill="1" applyAlignment="1">
      <alignment horizontal="center"/>
    </xf>
    <xf numFmtId="0" fontId="29" fillId="0" borderId="0" xfId="0" applyFont="1"/>
    <xf numFmtId="0" fontId="29" fillId="4" borderId="0" xfId="0" applyFont="1" applyFill="1"/>
    <xf numFmtId="0" fontId="29" fillId="4" borderId="0" xfId="0" applyFont="1" applyFill="1" applyAlignment="1">
      <alignment horizontal="center"/>
    </xf>
    <xf numFmtId="0" fontId="29" fillId="7" borderId="0" xfId="0" applyFont="1" applyFill="1"/>
    <xf numFmtId="0" fontId="29" fillId="14" borderId="0" xfId="0" applyFont="1" applyFill="1"/>
    <xf numFmtId="0" fontId="29" fillId="14" borderId="0" xfId="0" applyFont="1" applyFill="1" applyAlignment="1">
      <alignment horizontal="center"/>
    </xf>
    <xf numFmtId="0" fontId="4" fillId="15" borderId="0" xfId="0" applyFont="1" applyFill="1"/>
    <xf numFmtId="166" fontId="1" fillId="14" borderId="0" xfId="0" applyNumberFormat="1" applyFont="1" applyFill="1" applyBorder="1"/>
    <xf numFmtId="166" fontId="1" fillId="14" borderId="2" xfId="0" applyNumberFormat="1" applyFont="1" applyFill="1" applyBorder="1"/>
    <xf numFmtId="166" fontId="1" fillId="14" borderId="1" xfId="0" applyNumberFormat="1" applyFont="1" applyFill="1" applyBorder="1"/>
    <xf numFmtId="0" fontId="27" fillId="0" borderId="10" xfId="0" applyFont="1" applyBorder="1" applyAlignment="1">
      <alignment horizontal="center"/>
    </xf>
    <xf numFmtId="0" fontId="40" fillId="16" borderId="1" xfId="0" applyFont="1" applyFill="1" applyBorder="1"/>
    <xf numFmtId="0" fontId="38" fillId="16" borderId="1" xfId="0" applyFont="1" applyFill="1" applyBorder="1"/>
    <xf numFmtId="166" fontId="38" fillId="16" borderId="1" xfId="0" applyNumberFormat="1" applyFont="1" applyFill="1" applyBorder="1"/>
    <xf numFmtId="167" fontId="38" fillId="16" borderId="1" xfId="0" applyNumberFormat="1" applyFont="1" applyFill="1" applyBorder="1"/>
    <xf numFmtId="0" fontId="27" fillId="0" borderId="11" xfId="0" applyFont="1" applyBorder="1" applyAlignment="1">
      <alignment horizontal="center"/>
    </xf>
    <xf numFmtId="4" fontId="27" fillId="0" borderId="11" xfId="1" applyNumberFormat="1" applyFont="1" applyBorder="1" applyAlignment="1"/>
    <xf numFmtId="166" fontId="1" fillId="14" borderId="3" xfId="0" applyNumberFormat="1" applyFont="1" applyFill="1" applyBorder="1"/>
    <xf numFmtId="173" fontId="27" fillId="0" borderId="0" xfId="1" applyNumberFormat="1" applyFont="1" applyBorder="1" applyAlignment="1">
      <alignment horizontal="center"/>
    </xf>
    <xf numFmtId="2" fontId="27" fillId="0" borderId="10" xfId="0" applyNumberFormat="1" applyFont="1" applyBorder="1" applyAlignment="1">
      <alignment horizontal="center"/>
    </xf>
    <xf numFmtId="2" fontId="27" fillId="0" borderId="11" xfId="0" applyNumberFormat="1" applyFont="1" applyBorder="1" applyAlignment="1">
      <alignment horizontal="center"/>
    </xf>
    <xf numFmtId="2" fontId="27" fillId="0" borderId="6" xfId="0" applyNumberFormat="1" applyFont="1" applyFill="1" applyBorder="1" applyAlignment="1">
      <alignment horizontal="center"/>
    </xf>
    <xf numFmtId="170" fontId="27" fillId="0" borderId="0" xfId="0" applyNumberFormat="1" applyFont="1" applyBorder="1" applyAlignment="1">
      <alignment horizontal="center"/>
    </xf>
    <xf numFmtId="0" fontId="4" fillId="7" borderId="0" xfId="0" applyFont="1" applyFill="1"/>
    <xf numFmtId="0" fontId="0" fillId="7" borderId="0" xfId="0" applyFill="1" applyAlignment="1">
      <alignment horizontal="center"/>
    </xf>
    <xf numFmtId="166" fontId="0" fillId="0" borderId="0" xfId="0" applyNumberFormat="1"/>
    <xf numFmtId="170" fontId="27" fillId="0" borderId="1" xfId="0" applyNumberFormat="1" applyFont="1" applyBorder="1" applyAlignment="1">
      <alignment horizontal="center"/>
    </xf>
    <xf numFmtId="2" fontId="0" fillId="0" borderId="0" xfId="0" applyNumberFormat="1"/>
    <xf numFmtId="166" fontId="33" fillId="3" borderId="0" xfId="1" applyNumberFormat="1" applyFont="1" applyFill="1" applyBorder="1" applyAlignment="1">
      <alignment horizontal="center"/>
    </xf>
    <xf numFmtId="166" fontId="33" fillId="3" borderId="1" xfId="1" applyNumberFormat="1" applyFont="1" applyFill="1" applyBorder="1" applyAlignment="1">
      <alignment horizontal="center"/>
    </xf>
    <xf numFmtId="165" fontId="0" fillId="0" borderId="0" xfId="1" applyFont="1"/>
    <xf numFmtId="170" fontId="27" fillId="0" borderId="2" xfId="0" applyNumberFormat="1" applyFont="1" applyBorder="1" applyAlignment="1">
      <alignment horizontal="center"/>
    </xf>
    <xf numFmtId="170" fontId="27" fillId="0" borderId="12" xfId="0" applyNumberFormat="1" applyFont="1" applyBorder="1" applyAlignment="1">
      <alignment horizontal="center"/>
    </xf>
    <xf numFmtId="0" fontId="27" fillId="0" borderId="13" xfId="0" applyFont="1" applyBorder="1" applyAlignment="1">
      <alignment horizontal="center"/>
    </xf>
    <xf numFmtId="170" fontId="27" fillId="0" borderId="8" xfId="0" applyNumberFormat="1" applyFont="1" applyBorder="1" applyAlignment="1">
      <alignment horizontal="center"/>
    </xf>
    <xf numFmtId="166" fontId="7" fillId="3" borderId="3" xfId="0" applyNumberFormat="1" applyFont="1" applyFill="1" applyBorder="1"/>
    <xf numFmtId="2" fontId="7" fillId="3" borderId="3" xfId="0" applyNumberFormat="1" applyFont="1" applyFill="1" applyBorder="1"/>
    <xf numFmtId="166" fontId="33" fillId="3" borderId="3" xfId="1" applyNumberFormat="1" applyFont="1" applyFill="1" applyBorder="1" applyAlignment="1">
      <alignment horizontal="center"/>
    </xf>
    <xf numFmtId="167" fontId="0" fillId="3" borderId="3" xfId="0" applyNumberFormat="1" applyFill="1" applyBorder="1"/>
    <xf numFmtId="171" fontId="0" fillId="0" borderId="0" xfId="0" applyNumberFormat="1"/>
    <xf numFmtId="170" fontId="27" fillId="8" borderId="10" xfId="0" applyNumberFormat="1" applyFont="1" applyFill="1" applyBorder="1" applyAlignment="1">
      <alignment horizontal="center"/>
    </xf>
    <xf numFmtId="166" fontId="34" fillId="3" borderId="0" xfId="1" applyNumberFormat="1" applyFont="1" applyFill="1" applyBorder="1" applyAlignment="1">
      <alignment horizontal="center"/>
    </xf>
    <xf numFmtId="166" fontId="34" fillId="3" borderId="1" xfId="1" applyNumberFormat="1" applyFont="1" applyFill="1" applyBorder="1" applyAlignment="1">
      <alignment horizontal="center"/>
    </xf>
    <xf numFmtId="0" fontId="4" fillId="17" borderId="0" xfId="0" applyFont="1" applyFill="1" applyAlignment="1">
      <alignment vertical="top"/>
    </xf>
    <xf numFmtId="0" fontId="29" fillId="9" borderId="0" xfId="0" applyFont="1" applyFill="1" applyAlignment="1">
      <alignment horizontal="left"/>
    </xf>
    <xf numFmtId="166" fontId="1" fillId="12" borderId="1" xfId="0" applyNumberFormat="1" applyFont="1" applyFill="1" applyBorder="1"/>
    <xf numFmtId="0" fontId="4" fillId="6" borderId="0" xfId="0" applyFont="1" applyFill="1"/>
    <xf numFmtId="0" fontId="29" fillId="12" borderId="0" xfId="0" applyFont="1" applyFill="1" applyAlignment="1">
      <alignment horizontal="left"/>
    </xf>
    <xf numFmtId="0" fontId="4" fillId="12" borderId="0" xfId="0" applyFont="1" applyFill="1"/>
    <xf numFmtId="0" fontId="4" fillId="12" borderId="0" xfId="0" applyFont="1" applyFill="1" applyAlignment="1">
      <alignment horizontal="center"/>
    </xf>
    <xf numFmtId="0" fontId="3" fillId="0" borderId="3" xfId="0" applyFont="1" applyBorder="1" applyAlignment="1">
      <alignment horizontal="center" wrapText="1"/>
    </xf>
    <xf numFmtId="166" fontId="42" fillId="18" borderId="1" xfId="0" applyNumberFormat="1" applyFont="1" applyFill="1" applyBorder="1"/>
    <xf numFmtId="166" fontId="1" fillId="19" borderId="1" xfId="0" applyNumberFormat="1" applyFont="1" applyFill="1" applyBorder="1"/>
    <xf numFmtId="166" fontId="1" fillId="19" borderId="0" xfId="0" applyNumberFormat="1" applyFont="1" applyFill="1" applyBorder="1"/>
    <xf numFmtId="166" fontId="1" fillId="12" borderId="0" xfId="0" applyNumberFormat="1" applyFont="1" applyFill="1" applyBorder="1"/>
    <xf numFmtId="0" fontId="4" fillId="17" borderId="0" xfId="0" applyFont="1" applyFill="1" applyAlignment="1">
      <alignment vertical="center" wrapText="1"/>
    </xf>
    <xf numFmtId="0" fontId="27" fillId="0" borderId="14" xfId="0" applyFont="1" applyBorder="1" applyAlignment="1">
      <alignment horizontal="center" wrapText="1"/>
    </xf>
    <xf numFmtId="0" fontId="27" fillId="0" borderId="9" xfId="0" applyFont="1" applyBorder="1" applyAlignment="1">
      <alignment horizontal="center" wrapText="1"/>
    </xf>
    <xf numFmtId="0" fontId="27" fillId="0" borderId="8" xfId="0" applyFont="1" applyBorder="1" applyAlignment="1">
      <alignment horizontal="center"/>
    </xf>
    <xf numFmtId="0" fontId="27" fillId="0" borderId="11" xfId="0" applyFont="1" applyBorder="1" applyAlignment="1">
      <alignment horizontal="center"/>
    </xf>
    <xf numFmtId="0" fontId="27" fillId="0" borderId="12" xfId="0" applyFont="1" applyBorder="1" applyAlignment="1">
      <alignment horizontal="right"/>
    </xf>
    <xf numFmtId="0" fontId="27" fillId="0" borderId="13" xfId="0" applyFont="1" applyBorder="1" applyAlignment="1">
      <alignment horizontal="right"/>
    </xf>
    <xf numFmtId="0" fontId="27" fillId="0" borderId="13" xfId="0" applyFont="1" applyBorder="1" applyAlignment="1">
      <alignment horizontal="center" wrapText="1"/>
    </xf>
    <xf numFmtId="0" fontId="27" fillId="0" borderId="11" xfId="0" applyFont="1" applyBorder="1" applyAlignment="1">
      <alignment horizontal="center" wrapText="1"/>
    </xf>
    <xf numFmtId="0" fontId="27" fillId="4" borderId="14" xfId="0" applyFont="1" applyFill="1" applyBorder="1" applyAlignment="1">
      <alignment horizontal="center" wrapText="1"/>
    </xf>
    <xf numFmtId="0" fontId="27" fillId="4" borderId="9" xfId="0" applyFont="1" applyFill="1" applyBorder="1" applyAlignment="1">
      <alignment horizontal="center" wrapText="1"/>
    </xf>
    <xf numFmtId="0" fontId="41" fillId="8" borderId="15" xfId="0" applyFont="1" applyFill="1" applyBorder="1" applyAlignment="1">
      <alignment horizontal="center"/>
    </xf>
    <xf numFmtId="0" fontId="41" fillId="8" borderId="16" xfId="0" applyFont="1" applyFill="1" applyBorder="1" applyAlignment="1">
      <alignment horizontal="center"/>
    </xf>
    <xf numFmtId="0" fontId="41" fillId="8" borderId="17" xfId="0" applyFont="1" applyFill="1" applyBorder="1" applyAlignment="1">
      <alignment horizontal="center"/>
    </xf>
    <xf numFmtId="0" fontId="27" fillId="0" borderId="14" xfId="0" applyFont="1" applyBorder="1" applyAlignment="1">
      <alignment horizontal="center"/>
    </xf>
    <xf numFmtId="0" fontId="27" fillId="0" borderId="9" xfId="0" applyFont="1" applyBorder="1" applyAlignment="1">
      <alignment horizontal="center"/>
    </xf>
    <xf numFmtId="0" fontId="27" fillId="8" borderId="14" xfId="0" applyFont="1" applyFill="1" applyBorder="1" applyAlignment="1">
      <alignment horizontal="center" wrapText="1"/>
    </xf>
    <xf numFmtId="0" fontId="27" fillId="8" borderId="9" xfId="0" applyFont="1" applyFill="1" applyBorder="1" applyAlignment="1">
      <alignment horizontal="center"/>
    </xf>
    <xf numFmtId="0" fontId="1" fillId="0" borderId="14" xfId="0" applyFont="1" applyBorder="1" applyAlignment="1">
      <alignment horizontal="center" wrapText="1"/>
    </xf>
    <xf numFmtId="0" fontId="0" fillId="0" borderId="9" xfId="0" applyBorder="1" applyAlignment="1">
      <alignment horizontal="center" wrapText="1"/>
    </xf>
    <xf numFmtId="0" fontId="0" fillId="0" borderId="8"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1" fillId="8" borderId="14" xfId="0" applyFont="1" applyFill="1" applyBorder="1" applyAlignment="1">
      <alignment horizontal="center" wrapText="1"/>
    </xf>
    <xf numFmtId="0" fontId="0" fillId="8" borderId="9" xfId="0" applyFill="1" applyBorder="1" applyAlignment="1">
      <alignment horizontal="center"/>
    </xf>
    <xf numFmtId="0" fontId="0" fillId="0" borderId="12" xfId="0" applyBorder="1" applyAlignment="1">
      <alignment horizontal="right"/>
    </xf>
    <xf numFmtId="0" fontId="0" fillId="0" borderId="13" xfId="0" applyBorder="1" applyAlignment="1">
      <alignment horizontal="right"/>
    </xf>
    <xf numFmtId="0" fontId="1" fillId="0" borderId="13" xfId="0" applyFont="1" applyBorder="1" applyAlignment="1">
      <alignment horizontal="center" wrapText="1"/>
    </xf>
    <xf numFmtId="0" fontId="1" fillId="0" borderId="11" xfId="0" applyFont="1" applyBorder="1" applyAlignment="1">
      <alignment horizontal="center" wrapText="1"/>
    </xf>
    <xf numFmtId="0" fontId="1" fillId="4" borderId="14" xfId="0" applyFont="1" applyFill="1" applyBorder="1" applyAlignment="1">
      <alignment horizontal="center" wrapText="1"/>
    </xf>
    <xf numFmtId="0" fontId="1" fillId="4" borderId="9" xfId="0" applyFont="1" applyFill="1" applyBorder="1" applyAlignment="1">
      <alignment horizontal="center" wrapText="1"/>
    </xf>
    <xf numFmtId="0" fontId="1" fillId="0" borderId="0" xfId="0" applyFont="1" applyAlignment="1">
      <alignment horizontal="center"/>
    </xf>
    <xf numFmtId="0" fontId="0" fillId="0" borderId="0" xfId="0" applyAlignment="1">
      <alignment horizontal="center"/>
    </xf>
  </cellXfs>
  <cellStyles count="11">
    <cellStyle name="Komma" xfId="1" builtinId="3"/>
    <cellStyle name="Komma 2" xfId="2" xr:uid="{E12BA3BC-3EB8-4461-8786-4BE8B2DFD5B3}"/>
    <cellStyle name="Komma 2 2" xfId="3" xr:uid="{63877B46-3B69-4B9A-BF8A-0242E2E42605}"/>
    <cellStyle name="Komma 3" xfId="4" xr:uid="{35A3B333-CB0A-4A7D-A4F4-1CD575533AD4}"/>
    <cellStyle name="Link 2" xfId="5" xr:uid="{D554A897-F8DE-4671-9731-B5DF0F5EF499}"/>
    <cellStyle name="Link 3" xfId="6" xr:uid="{A53B142A-6303-469B-839A-57188E9361FF}"/>
    <cellStyle name="Link 3 2" xfId="7" xr:uid="{FC170F1C-D09B-4C6E-8CA2-7DF80070150C}"/>
    <cellStyle name="Link 4" xfId="8" xr:uid="{1CDA6A51-DEFC-49EA-B1A8-003AC33379A3}"/>
    <cellStyle name="Normal" xfId="0" builtinId="0"/>
    <cellStyle name="Normal 2" xfId="9" xr:uid="{72ADB0A5-0A84-4AED-BF8C-4583578B496F}"/>
    <cellStyle name="Normal 3" xfId="10" xr:uid="{182741A0-5825-4467-8F1E-C1C595C345DA}"/>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133350</xdr:colOff>
      <xdr:row>12</xdr:row>
      <xdr:rowOff>76201</xdr:rowOff>
    </xdr:from>
    <xdr:to>
      <xdr:col>4</xdr:col>
      <xdr:colOff>453418</xdr:colOff>
      <xdr:row>28</xdr:row>
      <xdr:rowOff>81935</xdr:rowOff>
    </xdr:to>
    <xdr:sp macro="" textlink="">
      <xdr:nvSpPr>
        <xdr:cNvPr id="2" name="Text Box 3">
          <a:extLst>
            <a:ext uri="{FF2B5EF4-FFF2-40B4-BE49-F238E27FC236}">
              <a16:creationId xmlns:a16="http://schemas.microsoft.com/office/drawing/2014/main" id="{FFD06C24-40B2-BDCC-E543-C85A54E4A683}"/>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100: 1. Januar 2008.</a:t>
          </a:r>
        </a:p>
        <a:p>
          <a:pPr algn="l" rtl="0">
            <a:defRPr sz="1000"/>
          </a:pPr>
          <a:r>
            <a:rPr lang="da-DK" sz="900" b="0" i="0" u="none" strike="noStrike" baseline="0">
              <a:solidFill>
                <a:sysClr val="windowText" lastClr="000000"/>
              </a:solidFill>
              <a:latin typeface="Arial"/>
              <a:cs typeface="Arial"/>
            </a:rPr>
            <a:t>                        </a:t>
          </a:r>
          <a:r>
            <a:rPr lang="da-DK" sz="900" b="1" i="0" u="none" strike="noStrike" baseline="0">
              <a:solidFill>
                <a:sysClr val="windowText" lastClr="000000"/>
              </a:solidFill>
              <a:latin typeface="Arial"/>
              <a:cs typeface="Arial"/>
            </a:rPr>
            <a:t>Janaur 2015 ændres 17% diesel til 17% Gas</a:t>
          </a:r>
        </a:p>
        <a:p>
          <a:pPr algn="l" rtl="0">
            <a:defRPr sz="1000"/>
          </a:pPr>
          <a:endParaRPr lang="da-DK" sz="900" b="0" i="0" u="none" strike="noStrike" baseline="0">
            <a:solidFill>
              <a:srgbClr val="FF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60 pct.) </a:t>
          </a:r>
        </a:p>
        <a:p>
          <a:pPr algn="l" rtl="0">
            <a:defRPr sz="1000"/>
          </a:pPr>
          <a:r>
            <a:rPr lang="da-DK" sz="900" b="0" i="0" u="none" strike="noStrike" baseline="0">
              <a:solidFill>
                <a:srgbClr val="000000"/>
              </a:solidFill>
              <a:latin typeface="Arial"/>
              <a:cs typeface="Arial"/>
            </a:rPr>
            <a:t>+ (Procentvis ændring i gasindeks  x 17 pct.) </a:t>
          </a:r>
        </a:p>
        <a:p>
          <a:pPr algn="l" rtl="0">
            <a:defRPr sz="1000"/>
          </a:pPr>
          <a:r>
            <a:rPr lang="da-DK" sz="900" b="0" i="0" u="none" strike="noStrike" baseline="0">
              <a:solidFill>
                <a:srgbClr val="000000"/>
              </a:solidFill>
              <a:latin typeface="Arial"/>
              <a:cs typeface="Arial"/>
            </a:rPr>
            <a:t>+ (Procentvis ændring i forbrugerindeks x 10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lønindekset,  er forskudt 6 måneder. Dette betyder eksempelvis, at omkostningsindekset for april baseres på delindeks fra februar - dog lønindeks fra K4 året før.</a:t>
          </a:r>
        </a:p>
        <a:p>
          <a:pPr algn="l" rtl="0">
            <a:defRPr sz="1000"/>
          </a:pPr>
          <a:r>
            <a:rPr lang="da-DK" sz="900" b="1" i="0" u="none" strike="noStrike" baseline="0">
              <a:solidFill>
                <a:sysClr val="windowText" lastClr="000000"/>
              </a:solidFill>
              <a:latin typeface="Arial"/>
              <a:cs typeface="Arial"/>
            </a:rPr>
            <a:t>Gas: </a:t>
          </a:r>
          <a:r>
            <a:rPr lang="da-DK" sz="900" b="0" i="0" u="none" strike="noStrike" baseline="0">
              <a:solidFill>
                <a:sysClr val="windowText" lastClr="000000"/>
              </a:solidFill>
              <a:latin typeface="Arial"/>
              <a:cs typeface="Arial"/>
            </a:rPr>
            <a:t>(Gaspoint Nordic spotpris 2 måneder  tidligere ,  Energitilsynet 5. måneder før, Skatteministeriet  aktuelle satser (</a:t>
          </a:r>
          <a:r>
            <a:rPr lang="da-DK" sz="800" b="0" i="0" u="none" strike="noStrike" baseline="0">
              <a:solidFill>
                <a:sysClr val="windowText" lastClr="000000"/>
              </a:solidFill>
              <a:latin typeface="Arial"/>
              <a:cs typeface="Arial"/>
            </a:rPr>
            <a:t>årlig)</a:t>
          </a:r>
        </a:p>
      </xdr:txBody>
    </xdr:sp>
    <xdr:clientData/>
  </xdr:twoCellAnchor>
  <xdr:twoCellAnchor>
    <xdr:from>
      <xdr:col>0</xdr:col>
      <xdr:colOff>133350</xdr:colOff>
      <xdr:row>40</xdr:row>
      <xdr:rowOff>7473</xdr:rowOff>
    </xdr:from>
    <xdr:to>
      <xdr:col>4</xdr:col>
      <xdr:colOff>447659</xdr:colOff>
      <xdr:row>50</xdr:row>
      <xdr:rowOff>127669</xdr:rowOff>
    </xdr:to>
    <xdr:sp macro="" textlink="">
      <xdr:nvSpPr>
        <xdr:cNvPr id="3" name="Text Box 5">
          <a:extLst>
            <a:ext uri="{FF2B5EF4-FFF2-40B4-BE49-F238E27FC236}">
              <a16:creationId xmlns:a16="http://schemas.microsoft.com/office/drawing/2014/main" id="{F280A3B1-4CEA-F173-7527-8AE8DEA21BCB}"/>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gas,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lnSpc>
              <a:spcPts val="900"/>
            </a:lnSpc>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lnSpc>
              <a:spcPts val="900"/>
            </a:lnSpc>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lnSpc>
              <a:spcPts val="1000"/>
            </a:lnSpc>
            <a:defRPr sz="1000"/>
          </a:pPr>
          <a:endParaRPr lang="da-DK" sz="1000" b="0" i="0" u="none" strike="noStrike" baseline="0">
            <a:solidFill>
              <a:srgbClr val="000000"/>
            </a:solidFill>
            <a:latin typeface="Arial"/>
            <a:cs typeface="Arial"/>
          </a:endParaRPr>
        </a:p>
      </xdr:txBody>
    </xdr:sp>
    <xdr:clientData/>
  </xdr:twoCellAnchor>
  <xdr:twoCellAnchor>
    <xdr:from>
      <xdr:col>0</xdr:col>
      <xdr:colOff>118110</xdr:colOff>
      <xdr:row>28</xdr:row>
      <xdr:rowOff>158115</xdr:rowOff>
    </xdr:from>
    <xdr:to>
      <xdr:col>4</xdr:col>
      <xdr:colOff>447628</xdr:colOff>
      <xdr:row>39</xdr:row>
      <xdr:rowOff>104733</xdr:rowOff>
    </xdr:to>
    <xdr:sp macro="" textlink="">
      <xdr:nvSpPr>
        <xdr:cNvPr id="4" name="Text Box 5">
          <a:extLst>
            <a:ext uri="{FF2B5EF4-FFF2-40B4-BE49-F238E27FC236}">
              <a16:creationId xmlns:a16="http://schemas.microsoft.com/office/drawing/2014/main" id="{A7D308E2-589C-3743-4201-960BF8C22003}"/>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a:t>
          </a:r>
          <a:r>
            <a:rPr lang="da-DK" sz="900" b="0" i="0" u="none" strike="noStrike" baseline="0">
              <a:solidFill>
                <a:sysClr val="windowText" lastClr="000000"/>
              </a:solidFill>
              <a:latin typeface="Arial"/>
              <a:cs typeface="Arial"/>
            </a:rPr>
            <a:t>gasindeks </a:t>
          </a:r>
          <a:r>
            <a:rPr lang="da-DK" sz="900" b="0" i="0" u="none" strike="noStrike" baseline="0">
              <a:solidFill>
                <a:srgbClr val="000000"/>
              </a:solidFill>
              <a:latin typeface="Arial"/>
              <a:cs typeface="Arial"/>
            </a:rPr>
            <a:t>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144C894-37AB-43F9-A690-C7AFADC5D90D}" name="Tabel6" displayName="Tabel6" ref="A3:L267" totalsRowShown="0" headerRowDxfId="14">
  <autoFilter ref="A3:L267" xr:uid="{AFF3CA5D-B596-4696-83FF-14742F4F6572}">
    <filterColumn colId="0">
      <filters>
        <filter val="2023"/>
        <filter val="2024"/>
        <filter val="2025"/>
        <filter val="2026"/>
      </filters>
    </filterColumn>
  </autoFilter>
  <tableColumns count="12">
    <tableColumn id="1" xr3:uid="{00000000-0010-0000-0100-000001000000}" name="År"/>
    <tableColumn id="2" xr3:uid="{00000000-0010-0000-0100-000002000000}" name="Måned"/>
    <tableColumn id="3" xr3:uid="{00000000-0010-0000-0100-000003000000}" name="Løn_x000a_(SBLON Vest)"/>
    <tableColumn id="4" xr3:uid="{00000000-0010-0000-0100-000004000000}" name="Gas"/>
    <tableColumn id="5" xr3:uid="{00000000-0010-0000-0100-000005000000}" name="Forbrug"/>
    <tableColumn id="6" xr3:uid="{00000000-0010-0000-0100-000006000000}" name="Maskiner" dataDxfId="13"/>
    <tableColumn id="7" xr3:uid="{00000000-0010-0000-0100-000007000000}" name="Rente"/>
    <tableColumn id="8" xr3:uid="{00000000-0010-0000-0100-000008000000}" name="Indeks" dataDxfId="12"/>
    <tableColumn id="9" xr3:uid="{00000000-0010-0000-0100-000009000000}" name="∆ Måned"/>
    <tableColumn id="10" xr3:uid="{00000000-0010-0000-0100-00000A000000}" name="Note"/>
    <tableColumn id="11" xr3:uid="{00000000-0010-0000-0100-00000B000000}" name="Kolonne1"/>
    <tableColumn id="12" xr3:uid="{00000000-0010-0000-0100-00000C000000}" name="Note_"/>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A15AA4-FAC1-4E53-8273-4D8ACDCFA4A9}" name="Tabel7" displayName="Tabel7" ref="A3:H267" totalsRowShown="0" headerRowDxfId="11">
  <autoFilter ref="A3:H267" xr:uid="{18085007-E394-44CA-A531-0BA8D8AD5391}">
    <filterColumn colId="0">
      <filters>
        <filter val="2023"/>
        <filter val="2024"/>
        <filter val="2025"/>
        <filter val="2026"/>
      </filters>
    </filterColumn>
  </autoFilter>
  <tableColumns count="8">
    <tableColumn id="1" xr3:uid="{00000000-0010-0000-0300-000001000000}" name="År"/>
    <tableColumn id="2" xr3:uid="{00000000-0010-0000-0300-000002000000}" name="Måned"/>
    <tableColumn id="3" xr3:uid="{00000000-0010-0000-0300-000003000000}" name="Løn_x000a_(SBLON Vest)"/>
    <tableColumn id="4" xr3:uid="{00000000-0010-0000-0300-000004000000}" name="Gas"/>
    <tableColumn id="5" xr3:uid="{00000000-0010-0000-0300-000005000000}" name="Forbrug"/>
    <tableColumn id="6" xr3:uid="{00000000-0010-0000-0300-000006000000}" name="Maskiner"/>
    <tableColumn id="7" xr3:uid="{00000000-0010-0000-0300-000007000000}" name="Rente"/>
    <tableColumn id="8" xr3:uid="{00000000-0010-0000-03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F1A1398-A923-4E53-AE1B-D17A716A3B8C}" name="Tabel20" displayName="Tabel20" ref="A2:H158" totalsRowShown="0" headerRowDxfId="10" dataDxfId="9" tableBorderDxfId="8">
  <tableColumns count="8">
    <tableColumn id="1" xr3:uid="{00000000-0010-0000-0500-000001000000}" name="År" dataDxfId="7">
      <calculatedColumnFormula>A2</calculatedColumnFormula>
    </tableColumn>
    <tableColumn id="2" xr3:uid="{00000000-0010-0000-0500-000002000000}" name="Måned" dataDxfId="6"/>
    <tableColumn id="3" xr3:uid="{00000000-0010-0000-0500-000003000000}" name="Indeks" dataDxfId="5"/>
    <tableColumn id="4" xr3:uid="{00000000-0010-0000-0500-000004000000}" name="∆ Måned" dataDxfId="4">
      <calculatedColumnFormula>(C3-C2)/C2</calculatedColumnFormula>
    </tableColumn>
    <tableColumn id="5" xr3:uid="{00000000-0010-0000-0500-000005000000}" name="∆ Kvartal" dataDxfId="3"/>
    <tableColumn id="9" xr3:uid="{00000000-0010-0000-0500-000009000000}" name="∆ Halvår" dataDxfId="2"/>
    <tableColumn id="6" xr3:uid="{00000000-0010-0000-0500-000006000000}" name="∆ År" dataDxfId="1"/>
    <tableColumn id="7" xr3:uid="{00000000-0010-0000-05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8838A-1F6A-40E0-965E-A4C87228E026}">
  <sheetPr codeName="Ark1">
    <pageSetUpPr fitToPage="1"/>
  </sheetPr>
  <dimension ref="A1:T280"/>
  <sheetViews>
    <sheetView tabSelected="1" showWhiteSpace="0" view="pageBreakPreview" topLeftCell="A233" zoomScaleNormal="100" zoomScaleSheetLayoutView="100" workbookViewId="0">
      <selection activeCell="C251" sqref="C251:C252"/>
    </sheetView>
  </sheetViews>
  <sheetFormatPr defaultRowHeight="12.75" x14ac:dyDescent="0.2"/>
  <cols>
    <col min="1" max="1" width="5.5703125" customWidth="1"/>
    <col min="2" max="2" width="9.5703125" customWidth="1"/>
    <col min="3" max="3" width="13.28515625" customWidth="1"/>
    <col min="4" max="4" width="9.5703125" bestFit="1" customWidth="1"/>
    <col min="5" max="5" width="10.140625" customWidth="1"/>
    <col min="6" max="6" width="11.42578125" bestFit="1" customWidth="1"/>
    <col min="7" max="7" width="8.140625" customWidth="1"/>
    <col min="8" max="8" width="13.140625" style="48" bestFit="1" customWidth="1"/>
    <col min="9" max="9" width="10.85546875" hidden="1" customWidth="1"/>
    <col min="10" max="10" width="14.42578125" hidden="1" customWidth="1"/>
    <col min="11" max="11" width="11.85546875" hidden="1" customWidth="1"/>
    <col min="12" max="12" width="17.28515625" customWidth="1"/>
  </cols>
  <sheetData>
    <row r="1" spans="1:12" ht="20.25" x14ac:dyDescent="0.3">
      <c r="A1" s="31"/>
      <c r="C1" s="2"/>
      <c r="H1" s="100" t="s">
        <v>31</v>
      </c>
      <c r="I1" s="49" t="s">
        <v>31</v>
      </c>
    </row>
    <row r="2" spans="1:12" x14ac:dyDescent="0.2">
      <c r="B2" s="2" t="s">
        <v>27</v>
      </c>
      <c r="C2" s="3">
        <v>0.6</v>
      </c>
      <c r="D2" s="3">
        <v>0.17</v>
      </c>
      <c r="E2" s="3">
        <v>0.08</v>
      </c>
      <c r="F2" s="3">
        <v>0.09</v>
      </c>
      <c r="G2" s="3">
        <v>0.06</v>
      </c>
    </row>
    <row r="3" spans="1:12" ht="33" customHeight="1" thickBot="1" x14ac:dyDescent="0.3">
      <c r="A3" s="181" t="s">
        <v>1</v>
      </c>
      <c r="B3" s="181" t="s">
        <v>2</v>
      </c>
      <c r="C3" s="389" t="s">
        <v>118</v>
      </c>
      <c r="D3" s="224" t="s">
        <v>64</v>
      </c>
      <c r="E3" s="224" t="s">
        <v>4</v>
      </c>
      <c r="F3" s="224" t="s">
        <v>5</v>
      </c>
      <c r="G3" s="224" t="s">
        <v>6</v>
      </c>
      <c r="H3" s="182" t="s">
        <v>0</v>
      </c>
      <c r="I3" s="2" t="s">
        <v>19</v>
      </c>
      <c r="J3" s="183" t="s">
        <v>43</v>
      </c>
      <c r="K3" s="198" t="s">
        <v>44</v>
      </c>
      <c r="L3" s="2" t="s">
        <v>86</v>
      </c>
    </row>
    <row r="4" spans="1:12" ht="15" hidden="1" x14ac:dyDescent="0.2">
      <c r="A4" s="8">
        <v>2005</v>
      </c>
      <c r="B4" s="13" t="s">
        <v>7</v>
      </c>
      <c r="C4" s="120" t="s">
        <v>18</v>
      </c>
      <c r="D4" s="115" t="s">
        <v>18</v>
      </c>
      <c r="E4" s="115" t="s">
        <v>18</v>
      </c>
      <c r="F4" s="115" t="s">
        <v>18</v>
      </c>
      <c r="G4" s="115" t="s">
        <v>18</v>
      </c>
      <c r="H4" s="94" t="s">
        <v>18</v>
      </c>
      <c r="I4" t="s">
        <v>18</v>
      </c>
    </row>
    <row r="5" spans="1:12" ht="15" hidden="1" x14ac:dyDescent="0.2">
      <c r="A5" s="12">
        <f>A4</f>
        <v>2005</v>
      </c>
      <c r="B5" s="13" t="s">
        <v>8</v>
      </c>
      <c r="C5" s="120" t="s">
        <v>18</v>
      </c>
      <c r="D5" s="115" t="s">
        <v>18</v>
      </c>
      <c r="E5" s="115" t="s">
        <v>18</v>
      </c>
      <c r="F5" s="115" t="s">
        <v>18</v>
      </c>
      <c r="G5" s="115" t="s">
        <v>18</v>
      </c>
      <c r="H5" s="94" t="s">
        <v>18</v>
      </c>
      <c r="I5" s="4" t="e">
        <f t="shared" ref="I5:I36" si="0">(H5-H4)/H4*100</f>
        <v>#VALUE!</v>
      </c>
    </row>
    <row r="6" spans="1:12" ht="15" hidden="1" x14ac:dyDescent="0.2">
      <c r="A6" s="16">
        <f t="shared" ref="A6:A15" si="1">A5</f>
        <v>2005</v>
      </c>
      <c r="B6" s="17" t="s">
        <v>9</v>
      </c>
      <c r="C6" s="124" t="s">
        <v>18</v>
      </c>
      <c r="D6" s="125" t="s">
        <v>18</v>
      </c>
      <c r="E6" s="125" t="s">
        <v>18</v>
      </c>
      <c r="F6" s="124" t="s">
        <v>18</v>
      </c>
      <c r="G6" s="125" t="s">
        <v>18</v>
      </c>
      <c r="H6" s="95" t="s">
        <v>18</v>
      </c>
      <c r="I6" s="4" t="e">
        <f t="shared" si="0"/>
        <v>#VALUE!</v>
      </c>
    </row>
    <row r="7" spans="1:12" ht="15" hidden="1" x14ac:dyDescent="0.2">
      <c r="A7" s="21">
        <f t="shared" si="1"/>
        <v>2005</v>
      </c>
      <c r="B7" s="22" t="s">
        <v>10</v>
      </c>
      <c r="C7" s="126" t="s">
        <v>18</v>
      </c>
      <c r="D7" s="127" t="s">
        <v>18</v>
      </c>
      <c r="E7" s="127" t="s">
        <v>18</v>
      </c>
      <c r="F7" s="127" t="s">
        <v>18</v>
      </c>
      <c r="G7" s="127" t="s">
        <v>18</v>
      </c>
      <c r="H7" s="96" t="s">
        <v>18</v>
      </c>
      <c r="I7" s="4" t="e">
        <f t="shared" si="0"/>
        <v>#VALUE!</v>
      </c>
    </row>
    <row r="8" spans="1:12" ht="15" hidden="1" x14ac:dyDescent="0.2">
      <c r="A8" s="12">
        <f t="shared" si="1"/>
        <v>2005</v>
      </c>
      <c r="B8" s="13" t="s">
        <v>11</v>
      </c>
      <c r="C8" s="120" t="s">
        <v>18</v>
      </c>
      <c r="D8" s="115" t="s">
        <v>18</v>
      </c>
      <c r="E8" s="115" t="s">
        <v>18</v>
      </c>
      <c r="F8" s="115" t="s">
        <v>18</v>
      </c>
      <c r="G8" s="115" t="s">
        <v>18</v>
      </c>
      <c r="H8" s="94" t="s">
        <v>18</v>
      </c>
      <c r="I8" s="4" t="e">
        <f t="shared" si="0"/>
        <v>#VALUE!</v>
      </c>
    </row>
    <row r="9" spans="1:12" ht="15" hidden="1" x14ac:dyDescent="0.2">
      <c r="A9" s="16">
        <f t="shared" si="1"/>
        <v>2005</v>
      </c>
      <c r="B9" s="17" t="s">
        <v>12</v>
      </c>
      <c r="C9" s="124" t="s">
        <v>18</v>
      </c>
      <c r="D9" s="125" t="s">
        <v>18</v>
      </c>
      <c r="E9" s="125" t="s">
        <v>18</v>
      </c>
      <c r="F9" s="125" t="s">
        <v>18</v>
      </c>
      <c r="G9" s="128" t="s">
        <v>18</v>
      </c>
      <c r="H9" s="95" t="s">
        <v>18</v>
      </c>
      <c r="I9" s="4" t="e">
        <f t="shared" si="0"/>
        <v>#VALUE!</v>
      </c>
    </row>
    <row r="10" spans="1:12" ht="15" hidden="1" x14ac:dyDescent="0.2">
      <c r="A10" s="129">
        <f t="shared" si="1"/>
        <v>2005</v>
      </c>
      <c r="B10" s="26" t="s">
        <v>30</v>
      </c>
      <c r="C10" s="23">
        <v>100</v>
      </c>
      <c r="D10" s="23">
        <v>117.3</v>
      </c>
      <c r="E10" s="22">
        <v>110.3</v>
      </c>
      <c r="F10" s="23">
        <v>99.4</v>
      </c>
      <c r="G10" s="27">
        <v>3.36</v>
      </c>
      <c r="H10" s="96">
        <f t="shared" ref="H10:H35" si="2">100+((C10-$C$40)/$C$40*100*$C$2)+((D10-$D$40)/$D$40*100*$D$2)+((E10-$E$40)/$E$40*100*$E$2)+((F10-$F$40)/$F$40*100*$F$2)+((G10-$G$40)/$G$40*100*$G$2)</f>
        <v>90.292328719285351</v>
      </c>
      <c r="I10" s="4" t="e">
        <f t="shared" si="0"/>
        <v>#VALUE!</v>
      </c>
    </row>
    <row r="11" spans="1:12" ht="15" hidden="1" x14ac:dyDescent="0.2">
      <c r="A11" s="12">
        <f t="shared" si="1"/>
        <v>2005</v>
      </c>
      <c r="B11" s="13" t="s">
        <v>13</v>
      </c>
      <c r="C11" s="14">
        <v>100</v>
      </c>
      <c r="D11" s="13">
        <v>122.9</v>
      </c>
      <c r="E11" s="13">
        <v>110.4</v>
      </c>
      <c r="F11" s="13">
        <v>99.8</v>
      </c>
      <c r="G11" s="13">
        <v>3.3</v>
      </c>
      <c r="H11" s="94">
        <f t="shared" si="2"/>
        <v>90.92752527499178</v>
      </c>
      <c r="I11" s="4">
        <f t="shared" si="0"/>
        <v>0.70348895051895877</v>
      </c>
    </row>
    <row r="12" spans="1:12" ht="15" hidden="1" x14ac:dyDescent="0.2">
      <c r="A12" s="16">
        <f t="shared" si="1"/>
        <v>2005</v>
      </c>
      <c r="B12" s="17" t="s">
        <v>14</v>
      </c>
      <c r="C12" s="18">
        <v>100</v>
      </c>
      <c r="D12" s="17">
        <v>127</v>
      </c>
      <c r="E12" s="17">
        <v>110.3</v>
      </c>
      <c r="F12" s="18">
        <v>100</v>
      </c>
      <c r="G12" s="17">
        <v>3.29</v>
      </c>
      <c r="H12" s="95">
        <f t="shared" si="2"/>
        <v>91.414653079921692</v>
      </c>
      <c r="I12" s="4">
        <f t="shared" si="0"/>
        <v>0.53573195075604807</v>
      </c>
    </row>
    <row r="13" spans="1:12" ht="15" hidden="1" x14ac:dyDescent="0.2">
      <c r="A13" s="21">
        <f t="shared" si="1"/>
        <v>2005</v>
      </c>
      <c r="B13" s="22" t="s">
        <v>15</v>
      </c>
      <c r="C13" s="23">
        <v>100.5</v>
      </c>
      <c r="D13" s="22">
        <v>126.5</v>
      </c>
      <c r="E13" s="22">
        <v>110.3</v>
      </c>
      <c r="F13" s="22">
        <v>100.1</v>
      </c>
      <c r="G13" s="22">
        <v>3.29</v>
      </c>
      <c r="H13" s="96">
        <f t="shared" si="2"/>
        <v>91.640641159377168</v>
      </c>
      <c r="I13" s="4">
        <f t="shared" si="0"/>
        <v>0.24721209548090717</v>
      </c>
    </row>
    <row r="14" spans="1:12" ht="15" hidden="1" x14ac:dyDescent="0.2">
      <c r="A14" s="12">
        <f t="shared" si="1"/>
        <v>2005</v>
      </c>
      <c r="B14" s="13" t="s">
        <v>16</v>
      </c>
      <c r="C14" s="14">
        <v>100.5</v>
      </c>
      <c r="D14" s="13">
        <v>130.19999999999999</v>
      </c>
      <c r="E14" s="13">
        <v>111.2</v>
      </c>
      <c r="F14" s="14">
        <v>100</v>
      </c>
      <c r="G14" s="25">
        <v>3.34</v>
      </c>
      <c r="H14" s="94">
        <f t="shared" si="2"/>
        <v>92.197079298895403</v>
      </c>
      <c r="I14" s="4">
        <f t="shared" si="0"/>
        <v>0.60719581670156986</v>
      </c>
    </row>
    <row r="15" spans="1:12" ht="15.75" hidden="1" thickBot="1" x14ac:dyDescent="0.25">
      <c r="A15" s="38">
        <f t="shared" si="1"/>
        <v>2005</v>
      </c>
      <c r="B15" s="39" t="s">
        <v>17</v>
      </c>
      <c r="C15" s="40">
        <v>100.5</v>
      </c>
      <c r="D15" s="39">
        <v>132.80000000000001</v>
      </c>
      <c r="E15" s="39">
        <v>111.1</v>
      </c>
      <c r="F15" s="39">
        <v>100.1</v>
      </c>
      <c r="G15" s="80">
        <v>3.72</v>
      </c>
      <c r="H15" s="97">
        <f t="shared" si="2"/>
        <v>92.986932917933089</v>
      </c>
      <c r="I15" s="4">
        <f t="shared" si="0"/>
        <v>0.85670134568693324</v>
      </c>
    </row>
    <row r="16" spans="1:12" ht="15" hidden="1" x14ac:dyDescent="0.2">
      <c r="A16" s="8">
        <v>2006</v>
      </c>
      <c r="B16" s="13" t="s">
        <v>7</v>
      </c>
      <c r="C16" s="14">
        <v>101.3</v>
      </c>
      <c r="D16" s="13">
        <v>125.9</v>
      </c>
      <c r="E16" s="13">
        <v>110.8</v>
      </c>
      <c r="F16" s="14">
        <v>99.9</v>
      </c>
      <c r="G16" s="13">
        <v>3.8</v>
      </c>
      <c r="H16" s="94">
        <f t="shared" si="2"/>
        <v>92.668805416705865</v>
      </c>
      <c r="I16" s="4">
        <f t="shared" si="0"/>
        <v>-0.34212065205763015</v>
      </c>
    </row>
    <row r="17" spans="1:9" ht="15" hidden="1" x14ac:dyDescent="0.2">
      <c r="A17" s="12">
        <f>A16</f>
        <v>2006</v>
      </c>
      <c r="B17" s="13" t="s">
        <v>8</v>
      </c>
      <c r="C17" s="14">
        <v>101.3</v>
      </c>
      <c r="D17" s="14">
        <v>125.1</v>
      </c>
      <c r="E17" s="13">
        <v>110.8</v>
      </c>
      <c r="F17" s="13">
        <v>99.4</v>
      </c>
      <c r="G17" s="13">
        <v>3.69</v>
      </c>
      <c r="H17" s="94">
        <f t="shared" si="2"/>
        <v>92.388858566310347</v>
      </c>
      <c r="I17" s="4">
        <f t="shared" si="0"/>
        <v>-0.30209394535375206</v>
      </c>
    </row>
    <row r="18" spans="1:9" ht="15" hidden="1" x14ac:dyDescent="0.2">
      <c r="A18" s="16">
        <f t="shared" ref="A18:A27" si="3">A17</f>
        <v>2006</v>
      </c>
      <c r="B18" s="17" t="s">
        <v>9</v>
      </c>
      <c r="C18" s="18">
        <v>101.3</v>
      </c>
      <c r="D18" s="17">
        <v>126.1</v>
      </c>
      <c r="E18" s="17">
        <v>110.4</v>
      </c>
      <c r="F18" s="18">
        <v>99.8</v>
      </c>
      <c r="G18" s="19">
        <v>3.71</v>
      </c>
      <c r="H18" s="95">
        <f t="shared" si="2"/>
        <v>92.542432970583306</v>
      </c>
      <c r="I18" s="4">
        <f t="shared" si="0"/>
        <v>0.16622610848983904</v>
      </c>
    </row>
    <row r="19" spans="1:9" ht="15" hidden="1" x14ac:dyDescent="0.2">
      <c r="A19" s="21">
        <f t="shared" si="3"/>
        <v>2006</v>
      </c>
      <c r="B19" s="22" t="s">
        <v>10</v>
      </c>
      <c r="C19" s="23">
        <v>102.1</v>
      </c>
      <c r="D19" s="22">
        <v>126</v>
      </c>
      <c r="E19" s="22">
        <v>111.5</v>
      </c>
      <c r="F19" s="22">
        <v>99.4</v>
      </c>
      <c r="G19" s="22">
        <v>3.81</v>
      </c>
      <c r="H19" s="96">
        <f t="shared" si="2"/>
        <v>93.137418618440705</v>
      </c>
      <c r="I19" s="4">
        <f t="shared" si="0"/>
        <v>0.64293279175675955</v>
      </c>
    </row>
    <row r="20" spans="1:9" ht="15" hidden="1" x14ac:dyDescent="0.2">
      <c r="A20" s="12">
        <f t="shared" si="3"/>
        <v>2006</v>
      </c>
      <c r="B20" s="13" t="s">
        <v>11</v>
      </c>
      <c r="C20" s="14">
        <v>102.1</v>
      </c>
      <c r="D20" s="13">
        <v>127.5</v>
      </c>
      <c r="E20" s="13">
        <v>111.9</v>
      </c>
      <c r="F20" s="14">
        <v>99.5</v>
      </c>
      <c r="G20" s="25">
        <v>4</v>
      </c>
      <c r="H20" s="94">
        <f t="shared" si="2"/>
        <v>93.591958180466236</v>
      </c>
      <c r="I20" s="4">
        <f t="shared" si="0"/>
        <v>0.4880310929462825</v>
      </c>
    </row>
    <row r="21" spans="1:9" ht="15" hidden="1" x14ac:dyDescent="0.2">
      <c r="A21" s="16">
        <f t="shared" si="3"/>
        <v>2006</v>
      </c>
      <c r="B21" s="17" t="s">
        <v>12</v>
      </c>
      <c r="C21" s="18">
        <v>102.1</v>
      </c>
      <c r="D21" s="17">
        <v>128.9</v>
      </c>
      <c r="E21" s="17">
        <v>112.4</v>
      </c>
      <c r="F21" s="18">
        <v>99.4</v>
      </c>
      <c r="G21" s="17">
        <v>4.13</v>
      </c>
      <c r="H21" s="95">
        <f t="shared" si="2"/>
        <v>93.947510099286887</v>
      </c>
      <c r="I21" s="4">
        <f t="shared" si="0"/>
        <v>0.37989580059332462</v>
      </c>
    </row>
    <row r="22" spans="1:9" ht="15" hidden="1" x14ac:dyDescent="0.2">
      <c r="A22" s="21">
        <f t="shared" si="3"/>
        <v>2006</v>
      </c>
      <c r="B22" s="26" t="s">
        <v>30</v>
      </c>
      <c r="C22" s="23">
        <v>102.9</v>
      </c>
      <c r="D22" s="22">
        <v>130.30000000000001</v>
      </c>
      <c r="E22" s="22">
        <v>112.5</v>
      </c>
      <c r="F22" s="23">
        <v>98.8</v>
      </c>
      <c r="G22" s="27">
        <v>4.0999999999999996</v>
      </c>
      <c r="H22" s="96">
        <f t="shared" si="2"/>
        <v>94.469743503759759</v>
      </c>
      <c r="I22" s="4">
        <f t="shared" si="0"/>
        <v>0.55587785553971292</v>
      </c>
    </row>
    <row r="23" spans="1:9" ht="15" hidden="1" x14ac:dyDescent="0.2">
      <c r="A23" s="12">
        <f t="shared" si="3"/>
        <v>2006</v>
      </c>
      <c r="B23" s="13" t="s">
        <v>13</v>
      </c>
      <c r="C23" s="14">
        <v>102.9</v>
      </c>
      <c r="D23" s="13">
        <v>130.30000000000001</v>
      </c>
      <c r="E23" s="13">
        <v>112.8</v>
      </c>
      <c r="F23" s="14">
        <v>98</v>
      </c>
      <c r="G23" s="13">
        <v>4.21</v>
      </c>
      <c r="H23" s="94">
        <f t="shared" si="2"/>
        <v>94.554737143960054</v>
      </c>
      <c r="I23" s="4">
        <f t="shared" si="0"/>
        <v>8.9969165838703374E-2</v>
      </c>
    </row>
    <row r="24" spans="1:9" ht="15" hidden="1" x14ac:dyDescent="0.2">
      <c r="A24" s="16">
        <f t="shared" si="3"/>
        <v>2006</v>
      </c>
      <c r="B24" s="17" t="s">
        <v>14</v>
      </c>
      <c r="C24" s="18">
        <v>102.9</v>
      </c>
      <c r="D24" s="17">
        <v>131.19999999999999</v>
      </c>
      <c r="E24" s="17">
        <v>112.5</v>
      </c>
      <c r="F24" s="18">
        <v>98.3</v>
      </c>
      <c r="G24" s="19">
        <v>4.16</v>
      </c>
      <c r="H24" s="95">
        <f t="shared" si="2"/>
        <v>94.606014083732617</v>
      </c>
      <c r="I24" s="4">
        <f t="shared" si="0"/>
        <v>5.4229900395676663E-2</v>
      </c>
    </row>
    <row r="25" spans="1:9" ht="15" hidden="1" x14ac:dyDescent="0.2">
      <c r="A25" s="21">
        <f t="shared" si="3"/>
        <v>2006</v>
      </c>
      <c r="B25" s="22" t="s">
        <v>15</v>
      </c>
      <c r="C25" s="23">
        <v>103.7</v>
      </c>
      <c r="D25" s="22">
        <v>133.9</v>
      </c>
      <c r="E25" s="22">
        <v>112.5</v>
      </c>
      <c r="F25" s="23">
        <v>98.2</v>
      </c>
      <c r="G25" s="22">
        <v>4.1500000000000004</v>
      </c>
      <c r="H25" s="96">
        <f t="shared" si="2"/>
        <v>95.347584194028585</v>
      </c>
      <c r="I25" s="4">
        <f t="shared" si="0"/>
        <v>0.78385091844121924</v>
      </c>
    </row>
    <row r="26" spans="1:9" ht="15" hidden="1" x14ac:dyDescent="0.2">
      <c r="A26" s="12">
        <f t="shared" si="3"/>
        <v>2006</v>
      </c>
      <c r="B26" s="13" t="s">
        <v>16</v>
      </c>
      <c r="C26" s="14">
        <v>103.7</v>
      </c>
      <c r="D26" s="13">
        <v>128.4</v>
      </c>
      <c r="E26" s="13">
        <v>112.9</v>
      </c>
      <c r="F26" s="14">
        <v>97.8</v>
      </c>
      <c r="G26" s="25">
        <v>4.1399999999999997</v>
      </c>
      <c r="H26" s="94">
        <f t="shared" si="2"/>
        <v>94.670874120393549</v>
      </c>
      <c r="I26" s="4">
        <f t="shared" si="0"/>
        <v>-0.70972964795621607</v>
      </c>
    </row>
    <row r="27" spans="1:9" ht="15.75" hidden="1" thickBot="1" x14ac:dyDescent="0.25">
      <c r="A27" s="38">
        <f t="shared" si="3"/>
        <v>2006</v>
      </c>
      <c r="B27" s="39" t="s">
        <v>17</v>
      </c>
      <c r="C27" s="40">
        <v>103.7</v>
      </c>
      <c r="D27" s="39">
        <v>124.1</v>
      </c>
      <c r="E27" s="39">
        <v>112.8</v>
      </c>
      <c r="F27" s="40">
        <v>97.5</v>
      </c>
      <c r="G27" s="39">
        <v>4.3499999999999996</v>
      </c>
      <c r="H27" s="97">
        <f t="shared" si="2"/>
        <v>94.388387509788657</v>
      </c>
      <c r="I27" s="4">
        <f t="shared" si="0"/>
        <v>-0.29838808739174794</v>
      </c>
    </row>
    <row r="28" spans="1:9" ht="15" hidden="1" x14ac:dyDescent="0.2">
      <c r="A28" s="8">
        <v>2007</v>
      </c>
      <c r="B28" s="13" t="s">
        <v>7</v>
      </c>
      <c r="C28" s="14">
        <v>104.4</v>
      </c>
      <c r="D28" s="13">
        <v>123.7</v>
      </c>
      <c r="E28" s="13">
        <v>112.7</v>
      </c>
      <c r="F28" s="14">
        <v>97.4</v>
      </c>
      <c r="G28" s="25">
        <v>4.3</v>
      </c>
      <c r="H28" s="94">
        <f t="shared" si="2"/>
        <v>94.648420509917301</v>
      </c>
      <c r="I28" s="4">
        <f t="shared" si="0"/>
        <v>0.27549257592908527</v>
      </c>
    </row>
    <row r="29" spans="1:9" ht="15" hidden="1" x14ac:dyDescent="0.2">
      <c r="A29" s="12">
        <f>A28</f>
        <v>2007</v>
      </c>
      <c r="B29" s="13" t="s">
        <v>8</v>
      </c>
      <c r="C29" s="14">
        <v>104.4</v>
      </c>
      <c r="D29" s="13">
        <v>123.1</v>
      </c>
      <c r="E29" s="13">
        <v>112.8</v>
      </c>
      <c r="F29" s="14">
        <v>97.6</v>
      </c>
      <c r="G29" s="13">
        <v>4.37</v>
      </c>
      <c r="H29" s="94">
        <f t="shared" si="2"/>
        <v>94.690506249993803</v>
      </c>
      <c r="I29" s="4">
        <f t="shared" si="0"/>
        <v>4.4465337984263359E-2</v>
      </c>
    </row>
    <row r="30" spans="1:9" ht="15" hidden="1" x14ac:dyDescent="0.2">
      <c r="A30" s="16">
        <f t="shared" ref="A30:A39" si="4">A29</f>
        <v>2007</v>
      </c>
      <c r="B30" s="17" t="s">
        <v>9</v>
      </c>
      <c r="C30" s="18">
        <v>104.4</v>
      </c>
      <c r="D30" s="17">
        <v>118.5</v>
      </c>
      <c r="E30" s="17">
        <v>112.4</v>
      </c>
      <c r="F30" s="18">
        <v>97.9</v>
      </c>
      <c r="G30" s="19">
        <v>4.46</v>
      </c>
      <c r="H30" s="95">
        <f t="shared" si="2"/>
        <v>94.256195507008883</v>
      </c>
      <c r="I30" s="4">
        <f t="shared" si="0"/>
        <v>-0.45866345020723576</v>
      </c>
    </row>
    <row r="31" spans="1:9" ht="15" hidden="1" x14ac:dyDescent="0.2">
      <c r="A31" s="21">
        <f t="shared" si="4"/>
        <v>2007</v>
      </c>
      <c r="B31" s="22" t="s">
        <v>10</v>
      </c>
      <c r="C31" s="23">
        <v>105.3</v>
      </c>
      <c r="D31" s="22">
        <v>122.2</v>
      </c>
      <c r="E31" s="22">
        <v>113.6</v>
      </c>
      <c r="F31" s="23">
        <v>98.3</v>
      </c>
      <c r="G31" s="22">
        <v>4.4400000000000004</v>
      </c>
      <c r="H31" s="96">
        <f t="shared" si="2"/>
        <v>95.288944097184881</v>
      </c>
      <c r="I31" s="4">
        <f t="shared" si="0"/>
        <v>1.095682447844188</v>
      </c>
    </row>
    <row r="32" spans="1:9" ht="15" hidden="1" x14ac:dyDescent="0.2">
      <c r="A32" s="12">
        <f t="shared" si="4"/>
        <v>2007</v>
      </c>
      <c r="B32" s="13" t="s">
        <v>11</v>
      </c>
      <c r="C32" s="14">
        <v>105.3</v>
      </c>
      <c r="D32" s="13">
        <v>123.2</v>
      </c>
      <c r="E32" s="13">
        <v>114.1</v>
      </c>
      <c r="F32" s="14">
        <v>98</v>
      </c>
      <c r="G32" s="25">
        <v>4.4800000000000004</v>
      </c>
      <c r="H32" s="94">
        <f t="shared" si="2"/>
        <v>95.46513183110342</v>
      </c>
      <c r="I32" s="4">
        <f t="shared" si="0"/>
        <v>0.18489840095073951</v>
      </c>
    </row>
    <row r="33" spans="1:10" ht="15" hidden="1" x14ac:dyDescent="0.2">
      <c r="A33" s="16">
        <f t="shared" si="4"/>
        <v>2007</v>
      </c>
      <c r="B33" s="17" t="s">
        <v>12</v>
      </c>
      <c r="C33" s="18">
        <v>105.3</v>
      </c>
      <c r="D33" s="17">
        <v>125.1</v>
      </c>
      <c r="E33" s="17">
        <v>114.3</v>
      </c>
      <c r="F33" s="18">
        <v>97.8</v>
      </c>
      <c r="G33" s="17">
        <v>4.59</v>
      </c>
      <c r="H33" s="95">
        <f t="shared" si="2"/>
        <v>95.825002310907621</v>
      </c>
      <c r="I33" s="4">
        <f t="shared" si="0"/>
        <v>0.37696536201393649</v>
      </c>
    </row>
    <row r="34" spans="1:10" ht="15" hidden="1" x14ac:dyDescent="0.2">
      <c r="A34" s="21">
        <f t="shared" si="4"/>
        <v>2007</v>
      </c>
      <c r="B34" s="26" t="s">
        <v>30</v>
      </c>
      <c r="C34" s="23">
        <v>106.3</v>
      </c>
      <c r="D34" s="22">
        <v>124.8</v>
      </c>
      <c r="E34" s="22">
        <v>114.5</v>
      </c>
      <c r="F34" s="23">
        <v>97.6</v>
      </c>
      <c r="G34" s="27">
        <v>4.7699999999999996</v>
      </c>
      <c r="H34" s="96">
        <f t="shared" si="2"/>
        <v>96.5635045311178</v>
      </c>
      <c r="I34" s="4">
        <f t="shared" si="0"/>
        <v>0.77067800928830954</v>
      </c>
    </row>
    <row r="35" spans="1:10" ht="15" hidden="1" x14ac:dyDescent="0.2">
      <c r="A35" s="12">
        <f t="shared" si="4"/>
        <v>2007</v>
      </c>
      <c r="B35" s="13" t="s">
        <v>13</v>
      </c>
      <c r="C35" s="14">
        <v>106.3</v>
      </c>
      <c r="D35" s="14">
        <v>127.6</v>
      </c>
      <c r="E35" s="13">
        <v>114.4</v>
      </c>
      <c r="F35" s="14">
        <v>97.6</v>
      </c>
      <c r="G35" s="13">
        <v>4.91</v>
      </c>
      <c r="H35" s="94">
        <f t="shared" si="2"/>
        <v>97.06601208645553</v>
      </c>
      <c r="I35" s="4">
        <f t="shared" si="0"/>
        <v>0.52039076023363984</v>
      </c>
    </row>
    <row r="36" spans="1:10" ht="15" hidden="1" x14ac:dyDescent="0.2">
      <c r="A36" s="16">
        <f t="shared" si="4"/>
        <v>2007</v>
      </c>
      <c r="B36" s="17" t="s">
        <v>14</v>
      </c>
      <c r="C36" s="18">
        <v>106.3</v>
      </c>
      <c r="D36" s="17">
        <v>128.80000000000001</v>
      </c>
      <c r="E36" s="17">
        <v>113.9</v>
      </c>
      <c r="F36" s="18">
        <v>97.6</v>
      </c>
      <c r="G36" s="19">
        <v>4.8099999999999996</v>
      </c>
      <c r="H36" s="95">
        <f t="shared" ref="H36:H75" si="5">100+((C36-$C$40)/$C$40*100*$C$2)+((D36-$D$40)/$D$40*100*$D$2)+((E36-$E$40)/$E$40*100*$E$2)+((F36-$F$40)/$F$40*100*$F$2)+((G36-$G$40)/$G$40*100*$G$2)</f>
        <v>97.048451031158621</v>
      </c>
      <c r="I36" s="4">
        <f t="shared" si="0"/>
        <v>-1.8091868533001612E-2</v>
      </c>
    </row>
    <row r="37" spans="1:10" ht="15" hidden="1" x14ac:dyDescent="0.2">
      <c r="A37" s="21">
        <f t="shared" si="4"/>
        <v>2007</v>
      </c>
      <c r="B37" s="22" t="s">
        <v>15</v>
      </c>
      <c r="C37" s="23">
        <v>107.5</v>
      </c>
      <c r="D37" s="22">
        <v>128</v>
      </c>
      <c r="E37" s="22">
        <v>113.7</v>
      </c>
      <c r="F37" s="23">
        <v>97.4</v>
      </c>
      <c r="G37" s="22">
        <v>4.82</v>
      </c>
      <c r="H37" s="96">
        <f t="shared" si="5"/>
        <v>97.596384573721011</v>
      </c>
      <c r="I37" s="4">
        <f t="shared" ref="I37:I63" si="6">(H37-H36)/H36*100</f>
        <v>0.56459792685044419</v>
      </c>
    </row>
    <row r="38" spans="1:10" ht="15" hidden="1" x14ac:dyDescent="0.2">
      <c r="A38" s="12">
        <f t="shared" si="4"/>
        <v>2007</v>
      </c>
      <c r="B38" s="13" t="s">
        <v>16</v>
      </c>
      <c r="C38" s="14">
        <v>107.5</v>
      </c>
      <c r="D38" s="13">
        <v>130.69999999999999</v>
      </c>
      <c r="E38" s="13">
        <v>114.3</v>
      </c>
      <c r="F38" s="14">
        <v>97.4</v>
      </c>
      <c r="G38" s="25">
        <v>4.84</v>
      </c>
      <c r="H38" s="94">
        <f t="shared" si="5"/>
        <v>97.984528819412418</v>
      </c>
      <c r="I38" s="4">
        <f t="shared" si="6"/>
        <v>0.39770350857435322</v>
      </c>
    </row>
    <row r="39" spans="1:10" ht="15.75" hidden="1" thickBot="1" x14ac:dyDescent="0.25">
      <c r="A39" s="38">
        <f t="shared" si="4"/>
        <v>2007</v>
      </c>
      <c r="B39" s="39" t="s">
        <v>17</v>
      </c>
      <c r="C39" s="40">
        <v>107.5</v>
      </c>
      <c r="D39" s="39">
        <v>131.30000000000001</v>
      </c>
      <c r="E39" s="39">
        <v>114.7</v>
      </c>
      <c r="F39" s="40">
        <v>97.3</v>
      </c>
      <c r="G39" s="39">
        <v>4.8499999999999996</v>
      </c>
      <c r="H39" s="97">
        <f t="shared" si="5"/>
        <v>98.086972839842176</v>
      </c>
      <c r="I39" s="4">
        <f t="shared" si="6"/>
        <v>0.10455122014064502</v>
      </c>
    </row>
    <row r="40" spans="1:10" s="2" customFormat="1" ht="15.75" hidden="1" x14ac:dyDescent="0.25">
      <c r="A40" s="8">
        <v>2008</v>
      </c>
      <c r="B40" s="8" t="s">
        <v>7</v>
      </c>
      <c r="C40" s="9">
        <v>108.6</v>
      </c>
      <c r="D40" s="9">
        <v>142.80000000000001</v>
      </c>
      <c r="E40" s="9">
        <v>115.5</v>
      </c>
      <c r="F40" s="9">
        <v>97.1</v>
      </c>
      <c r="G40" s="10">
        <v>4.7699999999999996</v>
      </c>
      <c r="H40" s="50">
        <f t="shared" si="5"/>
        <v>100</v>
      </c>
      <c r="I40" s="11">
        <f t="shared" si="6"/>
        <v>1.9503376490998887</v>
      </c>
      <c r="J40" s="42"/>
    </row>
    <row r="41" spans="1:10" ht="15" hidden="1" x14ac:dyDescent="0.2">
      <c r="A41" s="12">
        <f>A40</f>
        <v>2008</v>
      </c>
      <c r="B41" s="13" t="s">
        <v>8</v>
      </c>
      <c r="C41" s="14">
        <v>108.6</v>
      </c>
      <c r="D41" s="14">
        <v>136.30000000000001</v>
      </c>
      <c r="E41" s="14">
        <v>115.4</v>
      </c>
      <c r="F41" s="14">
        <v>96.7</v>
      </c>
      <c r="G41" s="25">
        <v>4.93</v>
      </c>
      <c r="H41" s="51">
        <f t="shared" si="5"/>
        <v>99.383446750672732</v>
      </c>
      <c r="I41" s="15">
        <f t="shared" si="6"/>
        <v>-0.61655324932726785</v>
      </c>
      <c r="J41" s="43"/>
    </row>
    <row r="42" spans="1:10" ht="15.75" hidden="1" x14ac:dyDescent="0.25">
      <c r="A42" s="16">
        <f t="shared" ref="A42:A51" si="7">A41</f>
        <v>2008</v>
      </c>
      <c r="B42" s="17" t="s">
        <v>9</v>
      </c>
      <c r="C42" s="18">
        <v>108.6</v>
      </c>
      <c r="D42" s="18">
        <v>140.19999999999999</v>
      </c>
      <c r="E42" s="18">
        <v>115.7</v>
      </c>
      <c r="F42" s="18">
        <v>97.6</v>
      </c>
      <c r="G42" s="19">
        <v>4.59</v>
      </c>
      <c r="H42" s="52">
        <f t="shared" si="5"/>
        <v>99.524257885272576</v>
      </c>
      <c r="I42" s="20">
        <f t="shared" si="6"/>
        <v>0.14168469619805207</v>
      </c>
      <c r="J42" s="62"/>
    </row>
    <row r="43" spans="1:10" ht="15" hidden="1" x14ac:dyDescent="0.2">
      <c r="A43" s="21">
        <f t="shared" si="7"/>
        <v>2008</v>
      </c>
      <c r="B43" s="22" t="s">
        <v>10</v>
      </c>
      <c r="C43" s="23">
        <v>109.9</v>
      </c>
      <c r="D43" s="23">
        <v>140.9</v>
      </c>
      <c r="E43" s="23">
        <v>117.1</v>
      </c>
      <c r="F43" s="23">
        <v>97.3</v>
      </c>
      <c r="G43" s="27">
        <v>4.55</v>
      </c>
      <c r="H43" s="53">
        <f t="shared" si="5"/>
        <v>100.34467210919578</v>
      </c>
      <c r="I43" s="24">
        <f t="shared" si="6"/>
        <v>0.82433593714303066</v>
      </c>
    </row>
    <row r="44" spans="1:10" ht="15" hidden="1" x14ac:dyDescent="0.2">
      <c r="A44" s="12">
        <f t="shared" si="7"/>
        <v>2008</v>
      </c>
      <c r="B44" s="13" t="s">
        <v>11</v>
      </c>
      <c r="C44" s="14">
        <v>109.9</v>
      </c>
      <c r="D44" s="14">
        <v>149.4</v>
      </c>
      <c r="E44" s="14">
        <v>117.6</v>
      </c>
      <c r="F44" s="14">
        <v>97.3</v>
      </c>
      <c r="G44" s="25">
        <v>4.72</v>
      </c>
      <c r="H44" s="51">
        <f t="shared" si="5"/>
        <v>101.60504538372001</v>
      </c>
      <c r="I44" s="15">
        <f t="shared" si="6"/>
        <v>1.2560440410355618</v>
      </c>
    </row>
    <row r="45" spans="1:10" ht="15" hidden="1" x14ac:dyDescent="0.2">
      <c r="A45" s="16">
        <f t="shared" si="7"/>
        <v>2008</v>
      </c>
      <c r="B45" s="17" t="s">
        <v>12</v>
      </c>
      <c r="C45" s="18">
        <v>109.9</v>
      </c>
      <c r="D45" s="18">
        <v>150.80000000000001</v>
      </c>
      <c r="E45" s="18">
        <v>118</v>
      </c>
      <c r="F45" s="18">
        <v>97.1</v>
      </c>
      <c r="G45" s="19">
        <v>4.9400000000000004</v>
      </c>
      <c r="H45" s="52">
        <f t="shared" si="5"/>
        <v>102.05760964772745</v>
      </c>
      <c r="I45" s="20">
        <f t="shared" si="6"/>
        <v>0.44541514872444393</v>
      </c>
      <c r="J45" s="35"/>
    </row>
    <row r="46" spans="1:10" ht="15" hidden="1" x14ac:dyDescent="0.2">
      <c r="A46" s="21">
        <f t="shared" si="7"/>
        <v>2008</v>
      </c>
      <c r="B46" s="26" t="s">
        <v>30</v>
      </c>
      <c r="C46" s="28">
        <v>111</v>
      </c>
      <c r="D46" s="23">
        <v>157.69999999999999</v>
      </c>
      <c r="E46" s="23">
        <v>118.4</v>
      </c>
      <c r="F46" s="23">
        <v>97</v>
      </c>
      <c r="G46" s="27">
        <v>5.22</v>
      </c>
      <c r="H46" s="53">
        <f t="shared" si="5"/>
        <v>103.85741111629646</v>
      </c>
      <c r="I46" s="24">
        <f t="shared" si="6"/>
        <v>1.7635152094796218</v>
      </c>
      <c r="J46" s="37"/>
    </row>
    <row r="47" spans="1:10" ht="15.75" hidden="1" x14ac:dyDescent="0.25">
      <c r="A47" s="12">
        <f t="shared" si="7"/>
        <v>2008</v>
      </c>
      <c r="B47" s="13" t="s">
        <v>13</v>
      </c>
      <c r="C47" s="14">
        <v>111</v>
      </c>
      <c r="D47" s="14">
        <v>165.5</v>
      </c>
      <c r="E47" s="14">
        <v>118.8</v>
      </c>
      <c r="F47" s="14">
        <v>97.2</v>
      </c>
      <c r="G47" s="25">
        <v>5.48</v>
      </c>
      <c r="H47" s="51">
        <f t="shared" si="5"/>
        <v>105.15926978784404</v>
      </c>
      <c r="I47" s="15">
        <f t="shared" si="6"/>
        <v>1.2535057994944576</v>
      </c>
      <c r="J47" s="36"/>
    </row>
    <row r="48" spans="1:10" ht="15" hidden="1" x14ac:dyDescent="0.2">
      <c r="A48" s="16">
        <f t="shared" si="7"/>
        <v>2008</v>
      </c>
      <c r="B48" s="17" t="s">
        <v>14</v>
      </c>
      <c r="C48" s="18">
        <v>111</v>
      </c>
      <c r="D48" s="18">
        <v>166.2</v>
      </c>
      <c r="E48" s="18">
        <v>118.4</v>
      </c>
      <c r="F48" s="18">
        <v>97.6</v>
      </c>
      <c r="G48" s="19">
        <v>5.36</v>
      </c>
      <c r="H48" s="52">
        <f t="shared" si="5"/>
        <v>105.10102927747189</v>
      </c>
      <c r="I48" s="20">
        <f t="shared" si="6"/>
        <v>-5.538314452890631E-2</v>
      </c>
    </row>
    <row r="49" spans="1:10" ht="15" hidden="1" x14ac:dyDescent="0.2">
      <c r="A49" s="21">
        <f t="shared" si="7"/>
        <v>2008</v>
      </c>
      <c r="B49" s="22" t="s">
        <v>15</v>
      </c>
      <c r="C49" s="23">
        <v>112.4</v>
      </c>
      <c r="D49" s="23">
        <v>153.4</v>
      </c>
      <c r="E49" s="23">
        <v>118.6</v>
      </c>
      <c r="F49" s="23">
        <v>97.6</v>
      </c>
      <c r="G49" s="27">
        <v>5.15</v>
      </c>
      <c r="H49" s="53">
        <f t="shared" si="5"/>
        <v>104.1004022871024</v>
      </c>
      <c r="I49" s="24">
        <f t="shared" si="6"/>
        <v>-0.95206202760183489</v>
      </c>
    </row>
    <row r="50" spans="1:10" ht="15" hidden="1" x14ac:dyDescent="0.2">
      <c r="A50" s="12">
        <f t="shared" si="7"/>
        <v>2008</v>
      </c>
      <c r="B50" s="13" t="s">
        <v>16</v>
      </c>
      <c r="C50" s="14">
        <v>112.4</v>
      </c>
      <c r="D50" s="14">
        <v>152.5</v>
      </c>
      <c r="E50" s="14">
        <v>119.1</v>
      </c>
      <c r="F50" s="14">
        <v>98</v>
      </c>
      <c r="G50" s="25">
        <v>5.15</v>
      </c>
      <c r="H50" s="51">
        <f t="shared" si="5"/>
        <v>104.06496664481814</v>
      </c>
      <c r="I50" s="15">
        <f t="shared" si="6"/>
        <v>-3.4039870649612267E-2</v>
      </c>
    </row>
    <row r="51" spans="1:10" ht="15.75" hidden="1" thickBot="1" x14ac:dyDescent="0.25">
      <c r="A51" s="38">
        <f t="shared" si="7"/>
        <v>2008</v>
      </c>
      <c r="B51" s="39" t="s">
        <v>17</v>
      </c>
      <c r="C51" s="40">
        <v>112.4</v>
      </c>
      <c r="D51" s="40">
        <v>142</v>
      </c>
      <c r="E51" s="40">
        <v>118.9</v>
      </c>
      <c r="F51" s="40">
        <v>99.5</v>
      </c>
      <c r="G51" s="80">
        <v>5.45</v>
      </c>
      <c r="H51" s="54">
        <f t="shared" si="5"/>
        <v>103.31750424738101</v>
      </c>
      <c r="I51" s="41">
        <f t="shared" si="6"/>
        <v>-0.71826515832968085</v>
      </c>
    </row>
    <row r="52" spans="1:10" ht="15" hidden="1" x14ac:dyDescent="0.2">
      <c r="A52" s="8">
        <v>2009</v>
      </c>
      <c r="B52" s="13" t="s">
        <v>7</v>
      </c>
      <c r="C52" s="14">
        <v>113.5</v>
      </c>
      <c r="D52" s="14">
        <v>134.19999999999999</v>
      </c>
      <c r="E52" s="14">
        <v>118.6</v>
      </c>
      <c r="F52" s="14">
        <v>100.3</v>
      </c>
      <c r="G52" s="141">
        <v>4.97</v>
      </c>
      <c r="H52" s="51">
        <f t="shared" si="5"/>
        <v>102.44626518020767</v>
      </c>
      <c r="I52" s="15">
        <f t="shared" si="6"/>
        <v>-0.84326375624333727</v>
      </c>
      <c r="J52" s="107"/>
    </row>
    <row r="53" spans="1:10" ht="15" hidden="1" x14ac:dyDescent="0.2">
      <c r="A53" s="12">
        <f>A52</f>
        <v>2009</v>
      </c>
      <c r="B53" s="13" t="s">
        <v>8</v>
      </c>
      <c r="C53" s="14">
        <v>113.5</v>
      </c>
      <c r="D53" s="14">
        <v>123.2</v>
      </c>
      <c r="E53" s="14">
        <v>118.2</v>
      </c>
      <c r="F53" s="14">
        <v>100.3</v>
      </c>
      <c r="G53" s="141">
        <v>4.4400000000000004</v>
      </c>
      <c r="H53" s="51">
        <f t="shared" si="5"/>
        <v>100.44236907631158</v>
      </c>
      <c r="I53" s="15">
        <f t="shared" si="6"/>
        <v>-1.9560460309325587</v>
      </c>
      <c r="J53" s="79"/>
    </row>
    <row r="54" spans="1:10" ht="15.75" hidden="1" x14ac:dyDescent="0.25">
      <c r="A54" s="16">
        <f t="shared" ref="A54:A63" si="8">A53</f>
        <v>2009</v>
      </c>
      <c r="B54" s="17" t="s">
        <v>9</v>
      </c>
      <c r="C54" s="18">
        <v>113.5</v>
      </c>
      <c r="D54" s="18">
        <v>121.5</v>
      </c>
      <c r="E54" s="18">
        <v>117.8</v>
      </c>
      <c r="F54" s="18">
        <v>98.7</v>
      </c>
      <c r="G54" s="142">
        <v>4.42</v>
      </c>
      <c r="H54" s="52">
        <f t="shared" si="5"/>
        <v>100.03882454261429</v>
      </c>
      <c r="I54" s="20">
        <f t="shared" si="6"/>
        <v>-0.40176723967023387</v>
      </c>
      <c r="J54" s="106"/>
    </row>
    <row r="55" spans="1:10" ht="15" hidden="1" x14ac:dyDescent="0.2">
      <c r="A55" s="21">
        <f t="shared" si="8"/>
        <v>2009</v>
      </c>
      <c r="B55" s="22" t="s">
        <v>10</v>
      </c>
      <c r="C55" s="23">
        <v>114.5</v>
      </c>
      <c r="D55" s="23">
        <v>120.9</v>
      </c>
      <c r="E55" s="23">
        <v>119.3</v>
      </c>
      <c r="F55" s="23">
        <v>100.5</v>
      </c>
      <c r="G55" s="143">
        <v>4.1500000000000004</v>
      </c>
      <c r="H55" s="53">
        <f t="shared" si="5"/>
        <v>100.45099393243727</v>
      </c>
      <c r="I55" s="24">
        <f t="shared" si="6"/>
        <v>0.4120094290466228</v>
      </c>
    </row>
    <row r="56" spans="1:10" ht="15" hidden="1" x14ac:dyDescent="0.2">
      <c r="A56" s="12">
        <f t="shared" si="8"/>
        <v>2009</v>
      </c>
      <c r="B56" s="13" t="s">
        <v>11</v>
      </c>
      <c r="C56" s="14">
        <v>114.5</v>
      </c>
      <c r="D56" s="14">
        <v>118.4</v>
      </c>
      <c r="E56" s="14">
        <v>119.7</v>
      </c>
      <c r="F56" s="14">
        <v>100.9</v>
      </c>
      <c r="G56" s="141">
        <v>3.93</v>
      </c>
      <c r="H56" s="51">
        <f t="shared" si="5"/>
        <v>99.941426133001983</v>
      </c>
      <c r="I56" s="15">
        <f t="shared" si="6"/>
        <v>-0.50727999742642715</v>
      </c>
      <c r="J56" s="101"/>
    </row>
    <row r="57" spans="1:10" ht="15" hidden="1" x14ac:dyDescent="0.2">
      <c r="A57" s="16">
        <f t="shared" si="8"/>
        <v>2009</v>
      </c>
      <c r="B57" s="17" t="s">
        <v>12</v>
      </c>
      <c r="C57" s="18">
        <v>114.5</v>
      </c>
      <c r="D57" s="18">
        <v>122.3</v>
      </c>
      <c r="E57" s="18">
        <v>119.6</v>
      </c>
      <c r="F57" s="18">
        <v>99.7</v>
      </c>
      <c r="G57" s="142">
        <v>3.89</v>
      </c>
      <c r="H57" s="52">
        <f t="shared" si="5"/>
        <v>100.23724543427278</v>
      </c>
      <c r="I57" s="20">
        <f t="shared" si="6"/>
        <v>0.2959926756269422</v>
      </c>
      <c r="J57" s="102"/>
    </row>
    <row r="58" spans="1:10" ht="15" hidden="1" x14ac:dyDescent="0.2">
      <c r="A58" s="21">
        <f t="shared" si="8"/>
        <v>2009</v>
      </c>
      <c r="B58" s="26" t="s">
        <v>30</v>
      </c>
      <c r="C58" s="23">
        <v>115.6</v>
      </c>
      <c r="D58" s="23">
        <v>123.4</v>
      </c>
      <c r="E58" s="23">
        <v>119.9</v>
      </c>
      <c r="F58" s="23">
        <v>99.9</v>
      </c>
      <c r="G58" s="143">
        <v>3.81</v>
      </c>
      <c r="H58" s="53">
        <f t="shared" si="5"/>
        <v>100.91462050192989</v>
      </c>
      <c r="I58" s="24">
        <f t="shared" si="6"/>
        <v>0.67577182984470152</v>
      </c>
      <c r="J58" s="103"/>
    </row>
    <row r="59" spans="1:10" ht="15" hidden="1" x14ac:dyDescent="0.2">
      <c r="A59" s="32">
        <f t="shared" si="8"/>
        <v>2009</v>
      </c>
      <c r="B59" s="33" t="s">
        <v>13</v>
      </c>
      <c r="C59" s="34">
        <v>115.6</v>
      </c>
      <c r="D59" s="34">
        <v>127.5</v>
      </c>
      <c r="E59" s="34">
        <v>120.2</v>
      </c>
      <c r="F59" s="34">
        <v>98.5</v>
      </c>
      <c r="G59" s="144">
        <v>3.69</v>
      </c>
      <c r="H59" s="55">
        <f t="shared" si="5"/>
        <v>101.14278843378494</v>
      </c>
      <c r="I59" s="15">
        <f t="shared" si="6"/>
        <v>0.22609997512767835</v>
      </c>
      <c r="J59" s="104"/>
    </row>
    <row r="60" spans="1:10" ht="15" hidden="1" x14ac:dyDescent="0.2">
      <c r="A60" s="63">
        <f t="shared" si="8"/>
        <v>2009</v>
      </c>
      <c r="B60" s="64" t="s">
        <v>14</v>
      </c>
      <c r="C60" s="65">
        <v>115.6</v>
      </c>
      <c r="D60" s="65">
        <v>124.8</v>
      </c>
      <c r="E60" s="65">
        <v>119.6</v>
      </c>
      <c r="F60" s="65">
        <v>98.3</v>
      </c>
      <c r="G60" s="145">
        <v>3.46</v>
      </c>
      <c r="H60" s="66">
        <f t="shared" si="5"/>
        <v>100.47195565458402</v>
      </c>
      <c r="I60" s="44">
        <f t="shared" si="6"/>
        <v>-0.66325319836331675</v>
      </c>
      <c r="J60" s="105"/>
    </row>
    <row r="61" spans="1:10" ht="15" hidden="1" x14ac:dyDescent="0.2">
      <c r="A61" s="70">
        <f t="shared" si="8"/>
        <v>2009</v>
      </c>
      <c r="B61" s="71" t="s">
        <v>15</v>
      </c>
      <c r="C61" s="68">
        <v>115.8</v>
      </c>
      <c r="D61" s="76">
        <v>131.69999999999999</v>
      </c>
      <c r="E61" s="68">
        <v>119.9</v>
      </c>
      <c r="F61" s="68">
        <v>97.5</v>
      </c>
      <c r="G61" s="146">
        <v>3.36</v>
      </c>
      <c r="H61" s="77">
        <f t="shared" si="5"/>
        <v>101.22472416038572</v>
      </c>
      <c r="I61" s="71">
        <f t="shared" si="6"/>
        <v>0.74923246083679873</v>
      </c>
      <c r="J61" s="103"/>
    </row>
    <row r="62" spans="1:10" ht="15" hidden="1" x14ac:dyDescent="0.2">
      <c r="A62" s="32">
        <f t="shared" si="8"/>
        <v>2009</v>
      </c>
      <c r="B62" s="33" t="s">
        <v>16</v>
      </c>
      <c r="C62" s="34">
        <v>115.8</v>
      </c>
      <c r="D62" s="78">
        <v>128.1</v>
      </c>
      <c r="E62" s="34">
        <v>120.1</v>
      </c>
      <c r="F62" s="34">
        <v>97.4</v>
      </c>
      <c r="G62" s="144">
        <v>3.23</v>
      </c>
      <c r="H62" s="66">
        <f t="shared" si="5"/>
        <v>100.63721473803184</v>
      </c>
      <c r="I62" s="33">
        <f t="shared" si="6"/>
        <v>-0.58040110973579417</v>
      </c>
      <c r="J62" s="104"/>
    </row>
    <row r="63" spans="1:10" ht="16.5" hidden="1" thickBot="1" x14ac:dyDescent="0.3">
      <c r="A63" s="72">
        <f t="shared" si="8"/>
        <v>2009</v>
      </c>
      <c r="B63" s="73" t="s">
        <v>17</v>
      </c>
      <c r="C63" s="69">
        <v>115.8</v>
      </c>
      <c r="D63">
        <v>128.1</v>
      </c>
      <c r="E63" s="135">
        <v>120.1</v>
      </c>
      <c r="F63" s="69">
        <v>97</v>
      </c>
      <c r="G63" s="136">
        <v>3.69</v>
      </c>
      <c r="H63" s="137">
        <f t="shared" si="5"/>
        <v>101.17875591000654</v>
      </c>
      <c r="I63" s="47">
        <f t="shared" si="6"/>
        <v>0.53811224146493175</v>
      </c>
      <c r="J63" s="106"/>
    </row>
    <row r="64" spans="1:10" ht="15.75" hidden="1" x14ac:dyDescent="0.25">
      <c r="A64" s="74">
        <v>2010</v>
      </c>
      <c r="B64" s="33" t="s">
        <v>7</v>
      </c>
      <c r="C64" s="157">
        <v>116.7</v>
      </c>
      <c r="D64" s="278">
        <v>131.69999999999999</v>
      </c>
      <c r="E64" s="278">
        <v>120.1</v>
      </c>
      <c r="F64" s="278">
        <v>96.9</v>
      </c>
      <c r="G64" s="81">
        <v>3.39</v>
      </c>
      <c r="H64" s="55">
        <f t="shared" si="5"/>
        <v>101.71793762201607</v>
      </c>
      <c r="I64" s="46"/>
      <c r="J64" s="106"/>
    </row>
    <row r="65" spans="1:10" ht="15.75" hidden="1" x14ac:dyDescent="0.25">
      <c r="A65" s="12">
        <v>2010</v>
      </c>
      <c r="B65" s="13" t="s">
        <v>8</v>
      </c>
      <c r="C65" s="14">
        <v>116.7</v>
      </c>
      <c r="D65" s="14">
        <v>129.5</v>
      </c>
      <c r="E65" s="14">
        <v>119.9</v>
      </c>
      <c r="F65" s="14">
        <v>96.8</v>
      </c>
      <c r="G65" s="279">
        <v>3.32</v>
      </c>
      <c r="H65" s="51">
        <f t="shared" si="5"/>
        <v>101.34486093673642</v>
      </c>
      <c r="I65" s="46"/>
      <c r="J65" s="106"/>
    </row>
    <row r="66" spans="1:10" ht="15.75" hidden="1" x14ac:dyDescent="0.25">
      <c r="A66" s="16">
        <v>2010</v>
      </c>
      <c r="B66" s="17" t="s">
        <v>9</v>
      </c>
      <c r="C66" s="18">
        <v>116.7</v>
      </c>
      <c r="D66" s="18">
        <v>136.4</v>
      </c>
      <c r="E66" s="18">
        <v>120.2</v>
      </c>
      <c r="F66" s="18">
        <v>97.8</v>
      </c>
      <c r="G66" s="280">
        <v>3.13</v>
      </c>
      <c r="H66" s="52">
        <f t="shared" si="5"/>
        <v>102.04076296881883</v>
      </c>
      <c r="I66" s="46"/>
      <c r="J66" s="106"/>
    </row>
    <row r="67" spans="1:10" ht="15.75" hidden="1" x14ac:dyDescent="0.25">
      <c r="A67" s="21">
        <v>2010</v>
      </c>
      <c r="B67" s="22" t="s">
        <v>10</v>
      </c>
      <c r="C67" s="23">
        <v>117.1</v>
      </c>
      <c r="D67" s="23">
        <v>134.30000000000001</v>
      </c>
      <c r="E67" s="23">
        <v>121.6</v>
      </c>
      <c r="F67" s="23">
        <v>98.1</v>
      </c>
      <c r="G67" s="281">
        <v>3</v>
      </c>
      <c r="H67" s="53">
        <f t="shared" si="5"/>
        <v>101.97301151351795</v>
      </c>
      <c r="I67" s="46"/>
      <c r="J67" s="106"/>
    </row>
    <row r="68" spans="1:10" ht="15.75" hidden="1" x14ac:dyDescent="0.25">
      <c r="A68" s="12">
        <v>2010</v>
      </c>
      <c r="B68" s="13" t="s">
        <v>11</v>
      </c>
      <c r="C68" s="14">
        <v>117.1</v>
      </c>
      <c r="D68" s="14">
        <v>139.9</v>
      </c>
      <c r="E68" s="14">
        <v>122.3</v>
      </c>
      <c r="F68" s="14">
        <v>98.4</v>
      </c>
      <c r="G68" s="279">
        <v>2.9</v>
      </c>
      <c r="H68" s="51">
        <f t="shared" si="5"/>
        <v>102.59018325031738</v>
      </c>
      <c r="I68" s="46"/>
      <c r="J68" s="106"/>
    </row>
    <row r="69" spans="1:10" ht="15.75" hidden="1" x14ac:dyDescent="0.25">
      <c r="A69" s="16">
        <v>2010</v>
      </c>
      <c r="B69" s="17" t="s">
        <v>12</v>
      </c>
      <c r="C69" s="18">
        <v>117.1</v>
      </c>
      <c r="D69" s="18">
        <v>144.6</v>
      </c>
      <c r="E69" s="18">
        <v>122.5</v>
      </c>
      <c r="F69" s="18">
        <v>98.9</v>
      </c>
      <c r="G69" s="280">
        <v>2.75</v>
      </c>
      <c r="H69" s="52">
        <f t="shared" si="5"/>
        <v>103.02122460369421</v>
      </c>
      <c r="I69" s="46"/>
      <c r="J69" s="106"/>
    </row>
    <row r="70" spans="1:10" ht="15.75" hidden="1" x14ac:dyDescent="0.25">
      <c r="A70" s="21">
        <v>2010</v>
      </c>
      <c r="B70" s="276" t="s">
        <v>58</v>
      </c>
      <c r="C70" s="23">
        <v>118.4</v>
      </c>
      <c r="D70" s="23">
        <v>146.6</v>
      </c>
      <c r="E70" s="23">
        <v>122.5</v>
      </c>
      <c r="F70" s="23">
        <v>98.7</v>
      </c>
      <c r="G70" s="281">
        <v>2.42</v>
      </c>
      <c r="H70" s="53">
        <f t="shared" si="5"/>
        <v>103.54391995625241</v>
      </c>
      <c r="I70" s="46"/>
      <c r="J70" s="106"/>
    </row>
    <row r="71" spans="1:10" ht="15.75" hidden="1" x14ac:dyDescent="0.25">
      <c r="A71" s="32">
        <v>2010</v>
      </c>
      <c r="B71" s="33" t="s">
        <v>13</v>
      </c>
      <c r="C71" s="34">
        <v>118.4</v>
      </c>
      <c r="D71" s="34">
        <v>145.80000000000001</v>
      </c>
      <c r="E71" s="34">
        <v>122.3</v>
      </c>
      <c r="F71" s="34">
        <v>100.4</v>
      </c>
      <c r="G71" s="159">
        <v>2.4900000000000002</v>
      </c>
      <c r="H71" s="55">
        <f t="shared" si="5"/>
        <v>103.68044887758985</v>
      </c>
      <c r="I71" s="46"/>
      <c r="J71" s="106"/>
    </row>
    <row r="72" spans="1:10" ht="15.75" hidden="1" x14ac:dyDescent="0.25">
      <c r="A72" s="63">
        <v>2010</v>
      </c>
      <c r="B72" s="64" t="s">
        <v>14</v>
      </c>
      <c r="C72" s="65">
        <v>118.4</v>
      </c>
      <c r="D72" s="65">
        <v>143.5</v>
      </c>
      <c r="E72" s="65">
        <v>122.3</v>
      </c>
      <c r="F72" s="65">
        <v>100.4</v>
      </c>
      <c r="G72" s="161">
        <v>2.52</v>
      </c>
      <c r="H72" s="66">
        <f t="shared" si="5"/>
        <v>103.44437520283692</v>
      </c>
      <c r="I72" s="46"/>
      <c r="J72" s="106"/>
    </row>
    <row r="73" spans="1:10" ht="15.75" hidden="1" x14ac:dyDescent="0.25">
      <c r="A73" s="70">
        <v>2010</v>
      </c>
      <c r="B73" s="71" t="s">
        <v>15</v>
      </c>
      <c r="C73" s="68">
        <v>118.5</v>
      </c>
      <c r="D73" s="277">
        <v>143.5</v>
      </c>
      <c r="E73" s="68">
        <v>122.7</v>
      </c>
      <c r="F73" s="68">
        <v>99.5</v>
      </c>
      <c r="G73" s="158">
        <v>2.31</v>
      </c>
      <c r="H73" s="77">
        <f t="shared" si="5"/>
        <v>103.17975935042105</v>
      </c>
      <c r="I73" s="46"/>
      <c r="J73" s="106"/>
    </row>
    <row r="74" spans="1:10" ht="15.75" hidden="1" x14ac:dyDescent="0.25">
      <c r="A74" s="32">
        <v>2010</v>
      </c>
      <c r="B74" s="33" t="s">
        <v>16</v>
      </c>
      <c r="C74" s="34">
        <v>118.5</v>
      </c>
      <c r="D74" s="157">
        <v>147.4</v>
      </c>
      <c r="E74" s="34">
        <v>123.2</v>
      </c>
      <c r="F74" s="34">
        <v>99.4</v>
      </c>
      <c r="G74" s="159">
        <v>2.42</v>
      </c>
      <c r="H74" s="66">
        <f t="shared" si="5"/>
        <v>103.80777308415638</v>
      </c>
      <c r="I74" s="46"/>
      <c r="J74" s="106"/>
    </row>
    <row r="75" spans="1:10" ht="16.5" hidden="1" thickBot="1" x14ac:dyDescent="0.3">
      <c r="A75" s="72">
        <v>2010</v>
      </c>
      <c r="B75" s="73" t="s">
        <v>17</v>
      </c>
      <c r="C75" s="69">
        <v>118.5</v>
      </c>
      <c r="D75">
        <v>143.6</v>
      </c>
      <c r="E75" s="162">
        <v>123.1</v>
      </c>
      <c r="F75" s="69">
        <v>98.7</v>
      </c>
      <c r="G75" s="163">
        <v>2.85</v>
      </c>
      <c r="H75" s="137">
        <f t="shared" si="5"/>
        <v>103.82446466259715</v>
      </c>
      <c r="I75" s="46"/>
      <c r="J75" s="106"/>
    </row>
    <row r="76" spans="1:10" ht="15" hidden="1" x14ac:dyDescent="0.2">
      <c r="A76" s="74">
        <v>2011</v>
      </c>
      <c r="B76" s="33" t="s">
        <v>7</v>
      </c>
      <c r="C76" s="78">
        <v>119.4</v>
      </c>
      <c r="D76" s="140">
        <v>147.30000000000001</v>
      </c>
      <c r="E76" s="140">
        <v>123.2</v>
      </c>
      <c r="F76" s="140">
        <v>97.8</v>
      </c>
      <c r="G76" s="81">
        <v>2.77</v>
      </c>
      <c r="H76" s="55">
        <f t="shared" ref="H76:H87" si="9">100+((C76-$C$40)/$C$40*100*$C$2)+((D76-$D$40)/$D$40*100*$D$2)+((E76-$E$40)/$E$40*100*$E$2)+((F76-$F$40)/$F$40*100*$F$2)+((G76-$G$40)/$G$40*100*$G$2)</f>
        <v>104.58505674273317</v>
      </c>
      <c r="I76" s="59">
        <f>(H112-H63)/H63*100</f>
        <v>8.1678221201793431</v>
      </c>
      <c r="J76" s="105"/>
    </row>
    <row r="77" spans="1:10" ht="15" hidden="1" x14ac:dyDescent="0.2">
      <c r="A77" s="32">
        <f>A76</f>
        <v>2011</v>
      </c>
      <c r="B77" s="33" t="s">
        <v>8</v>
      </c>
      <c r="C77" s="78">
        <v>119.4</v>
      </c>
      <c r="D77" s="78">
        <v>151.19999999999999</v>
      </c>
      <c r="E77" s="78">
        <v>123.3</v>
      </c>
      <c r="F77" s="78">
        <v>98.2</v>
      </c>
      <c r="G77" s="144">
        <v>2.68</v>
      </c>
      <c r="H77" s="55">
        <f t="shared" si="9"/>
        <v>104.98013649700204</v>
      </c>
      <c r="I77" s="59">
        <f t="shared" ref="I77:I87" si="10">(H113-H112)/H112*100</f>
        <v>0.21800821256603609</v>
      </c>
      <c r="J77" s="104"/>
    </row>
    <row r="78" spans="1:10" ht="15.75" hidden="1" x14ac:dyDescent="0.25">
      <c r="A78" s="63">
        <f t="shared" ref="A78:A87" si="11">A77</f>
        <v>2011</v>
      </c>
      <c r="B78" s="64" t="s">
        <v>9</v>
      </c>
      <c r="C78" s="139">
        <v>119.4</v>
      </c>
      <c r="D78" s="139">
        <v>156.6</v>
      </c>
      <c r="E78" s="139">
        <v>123.4</v>
      </c>
      <c r="F78" s="139">
        <v>99</v>
      </c>
      <c r="G78" s="145">
        <v>2.91</v>
      </c>
      <c r="H78" s="149">
        <f t="shared" si="9"/>
        <v>105.99337858333936</v>
      </c>
      <c r="I78" s="60">
        <f t="shared" si="10"/>
        <v>-0.2394424983724058</v>
      </c>
      <c r="J78" s="106"/>
    </row>
    <row r="79" spans="1:10" ht="15" hidden="1" x14ac:dyDescent="0.2">
      <c r="A79" s="70">
        <f t="shared" si="11"/>
        <v>2011</v>
      </c>
      <c r="B79" s="71" t="s">
        <v>10</v>
      </c>
      <c r="C79" s="76">
        <v>119.8</v>
      </c>
      <c r="D79" s="76">
        <v>160</v>
      </c>
      <c r="E79" s="76">
        <v>124.9</v>
      </c>
      <c r="F79" s="76">
        <v>98.5</v>
      </c>
      <c r="G79" s="146">
        <v>2.96</v>
      </c>
      <c r="H79" s="150">
        <f t="shared" si="9"/>
        <v>106.73958017361328</v>
      </c>
      <c r="I79" s="61">
        <f t="shared" si="10"/>
        <v>0.34699220300847483</v>
      </c>
      <c r="J79" s="33"/>
    </row>
    <row r="80" spans="1:10" ht="15" hidden="1" x14ac:dyDescent="0.2">
      <c r="A80" s="32">
        <f t="shared" si="11"/>
        <v>2011</v>
      </c>
      <c r="B80" s="33" t="s">
        <v>11</v>
      </c>
      <c r="C80" s="78">
        <f>C79</f>
        <v>119.8</v>
      </c>
      <c r="D80" s="78">
        <v>163.69999999999999</v>
      </c>
      <c r="E80" s="78">
        <v>125.6</v>
      </c>
      <c r="F80" s="78">
        <v>98.5</v>
      </c>
      <c r="G80" s="144">
        <v>3.07</v>
      </c>
      <c r="H80" s="55">
        <f t="shared" si="9"/>
        <v>107.36690599244854</v>
      </c>
      <c r="I80" s="59">
        <f t="shared" si="10"/>
        <v>-0.15096625321726856</v>
      </c>
      <c r="J80" s="101"/>
    </row>
    <row r="81" spans="1:10" ht="15" hidden="1" x14ac:dyDescent="0.2">
      <c r="A81" s="63">
        <f t="shared" si="11"/>
        <v>2011</v>
      </c>
      <c r="B81" s="64" t="s">
        <v>12</v>
      </c>
      <c r="C81" s="139">
        <f t="shared" ref="C81:C87" si="12">C79</f>
        <v>119.8</v>
      </c>
      <c r="D81" s="139">
        <v>169.4</v>
      </c>
      <c r="E81" s="139">
        <v>126.1</v>
      </c>
      <c r="F81" s="139">
        <v>97.8</v>
      </c>
      <c r="G81" s="145">
        <v>3</v>
      </c>
      <c r="H81" s="149">
        <f t="shared" si="9"/>
        <v>107.9271775757901</v>
      </c>
      <c r="I81" s="60">
        <f t="shared" si="10"/>
        <v>-0.13944128299499509</v>
      </c>
      <c r="J81" s="102"/>
    </row>
    <row r="82" spans="1:10" ht="15" hidden="1" x14ac:dyDescent="0.2">
      <c r="A82" s="70">
        <f t="shared" si="11"/>
        <v>2011</v>
      </c>
      <c r="B82" s="75" t="s">
        <v>30</v>
      </c>
      <c r="C82" s="76">
        <v>120.4</v>
      </c>
      <c r="D82" s="76">
        <v>163.5</v>
      </c>
      <c r="E82" s="76">
        <v>126.3</v>
      </c>
      <c r="F82" s="76">
        <v>97</v>
      </c>
      <c r="G82" s="146">
        <v>2.85</v>
      </c>
      <c r="H82" s="150">
        <f t="shared" si="9"/>
        <v>107.30731154423297</v>
      </c>
      <c r="I82" s="61">
        <f t="shared" si="10"/>
        <v>-3.7741487679260721E-2</v>
      </c>
      <c r="J82" s="103"/>
    </row>
    <row r="83" spans="1:10" ht="15" hidden="1" x14ac:dyDescent="0.2">
      <c r="A83" s="32">
        <f t="shared" si="11"/>
        <v>2011</v>
      </c>
      <c r="B83" s="33" t="s">
        <v>13</v>
      </c>
      <c r="C83" s="78">
        <f>C82</f>
        <v>120.4</v>
      </c>
      <c r="D83" s="78">
        <v>167.3</v>
      </c>
      <c r="E83" s="78">
        <v>126</v>
      </c>
      <c r="F83" s="78">
        <v>96.9</v>
      </c>
      <c r="G83" s="81">
        <v>2.89</v>
      </c>
      <c r="H83" s="55">
        <f t="shared" si="9"/>
        <v>107.77995894618688</v>
      </c>
      <c r="I83" s="59">
        <f t="shared" si="10"/>
        <v>0.19732922884738852</v>
      </c>
      <c r="J83" s="104"/>
    </row>
    <row r="84" spans="1:10" ht="15" hidden="1" x14ac:dyDescent="0.2">
      <c r="A84" s="63">
        <f t="shared" si="11"/>
        <v>2011</v>
      </c>
      <c r="B84" s="64" t="s">
        <v>14</v>
      </c>
      <c r="C84" s="139">
        <f t="shared" si="12"/>
        <v>120.4</v>
      </c>
      <c r="D84" s="139">
        <v>169.1</v>
      </c>
      <c r="E84" s="139">
        <v>125.9</v>
      </c>
      <c r="F84" s="139">
        <v>96.6</v>
      </c>
      <c r="G84" s="145">
        <v>2.7</v>
      </c>
      <c r="H84" s="66">
        <f t="shared" si="9"/>
        <v>107.72051815768444</v>
      </c>
      <c r="I84" s="44">
        <f t="shared" si="10"/>
        <v>-0.17700392370488663</v>
      </c>
      <c r="J84" s="105"/>
    </row>
    <row r="85" spans="1:10" ht="15" hidden="1" x14ac:dyDescent="0.2">
      <c r="A85" s="70">
        <f t="shared" si="11"/>
        <v>2011</v>
      </c>
      <c r="B85" s="71" t="s">
        <v>15</v>
      </c>
      <c r="C85" s="76">
        <v>120.8</v>
      </c>
      <c r="D85" s="76">
        <v>165.3</v>
      </c>
      <c r="E85" s="76">
        <v>125.9</v>
      </c>
      <c r="F85" s="76">
        <v>97.2</v>
      </c>
      <c r="G85" s="146">
        <v>2.39</v>
      </c>
      <c r="H85" s="77">
        <f t="shared" si="9"/>
        <v>107.15480734386321</v>
      </c>
      <c r="I85" s="45">
        <f t="shared" si="10"/>
        <v>0.19383304712299129</v>
      </c>
      <c r="J85" s="103"/>
    </row>
    <row r="86" spans="1:10" ht="15" hidden="1" x14ac:dyDescent="0.2">
      <c r="A86" s="32">
        <f t="shared" si="11"/>
        <v>2011</v>
      </c>
      <c r="B86" s="33" t="s">
        <v>16</v>
      </c>
      <c r="C86" s="78">
        <f>C85</f>
        <v>120.8</v>
      </c>
      <c r="D86" s="78">
        <v>168.5</v>
      </c>
      <c r="E86" s="78">
        <v>126.3</v>
      </c>
      <c r="F86" s="78">
        <v>96.9</v>
      </c>
      <c r="G86" s="144">
        <v>2.19</v>
      </c>
      <c r="H86" s="66">
        <f t="shared" si="9"/>
        <v>107.28408664030727</v>
      </c>
      <c r="I86" s="46">
        <f t="shared" si="10"/>
        <v>-0.18896408970186979</v>
      </c>
      <c r="J86" s="104"/>
    </row>
    <row r="87" spans="1:10" ht="15.75" hidden="1" thickBot="1" x14ac:dyDescent="0.25">
      <c r="A87" s="72">
        <f t="shared" si="11"/>
        <v>2011</v>
      </c>
      <c r="B87" s="73" t="s">
        <v>17</v>
      </c>
      <c r="C87" s="135">
        <f t="shared" si="12"/>
        <v>120.8</v>
      </c>
      <c r="D87" s="135">
        <v>169.8</v>
      </c>
      <c r="E87" s="135">
        <v>126.5</v>
      </c>
      <c r="F87" s="135">
        <v>98.1</v>
      </c>
      <c r="G87" s="136">
        <v>2.54</v>
      </c>
      <c r="H87" s="137">
        <f t="shared" si="9"/>
        <v>108.00417847192873</v>
      </c>
      <c r="I87" s="47">
        <f t="shared" si="10"/>
        <v>-0.44736015762392245</v>
      </c>
      <c r="J87" s="104"/>
    </row>
    <row r="88" spans="1:10" ht="15" hidden="1" x14ac:dyDescent="0.2">
      <c r="A88" s="74">
        <v>2012</v>
      </c>
      <c r="B88" s="33" t="s">
        <v>7</v>
      </c>
      <c r="C88" s="76">
        <v>121.3</v>
      </c>
      <c r="D88" s="140">
        <v>173.6</v>
      </c>
      <c r="E88" s="78">
        <v>126.4</v>
      </c>
      <c r="F88" s="78">
        <v>97.6</v>
      </c>
      <c r="G88" s="81">
        <v>2.23</v>
      </c>
      <c r="H88" s="164">
        <f t="shared" ref="H88:H99" si="13">100+((C88-$C$40)/$C$40*100*$C$2)+((D88-$D$40)/$D$40*100*$D$2)+((E88-$E$40)/$E$40*100*$E$2)+((F88-$F$40)/$F$40*100*$F$2)+((G88-$G$40)/$G$40*100*$G$2)</f>
        <v>108.28959502910448</v>
      </c>
      <c r="I88" s="59">
        <f>(H76-H123)/H123*100</f>
        <v>-4.0289552892457694</v>
      </c>
      <c r="J88" s="105"/>
    </row>
    <row r="89" spans="1:10" ht="15" hidden="1" x14ac:dyDescent="0.2">
      <c r="A89" s="32">
        <f>A88</f>
        <v>2012</v>
      </c>
      <c r="B89" s="33" t="s">
        <v>8</v>
      </c>
      <c r="C89">
        <f>C88</f>
        <v>121.3</v>
      </c>
      <c r="D89" s="78">
        <v>169.6</v>
      </c>
      <c r="E89" s="78">
        <v>126.4</v>
      </c>
      <c r="F89" s="78">
        <v>98.3</v>
      </c>
      <c r="G89" s="144">
        <v>1.87</v>
      </c>
      <c r="H89" s="164">
        <f t="shared" si="13"/>
        <v>107.42545592963126</v>
      </c>
      <c r="I89" s="59">
        <f t="shared" ref="I89:I99" si="14">(H77-H76)/H76*100</f>
        <v>0.37775927706451662</v>
      </c>
      <c r="J89" s="104"/>
    </row>
    <row r="90" spans="1:10" ht="15.75" hidden="1" x14ac:dyDescent="0.25">
      <c r="A90" s="63">
        <f t="shared" ref="A90:A99" si="15">A89</f>
        <v>2012</v>
      </c>
      <c r="B90" s="64" t="s">
        <v>9</v>
      </c>
      <c r="C90" s="17">
        <f>C88</f>
        <v>121.3</v>
      </c>
      <c r="D90" s="139">
        <v>174.9</v>
      </c>
      <c r="E90" s="139">
        <v>126.8</v>
      </c>
      <c r="F90" s="139">
        <v>99.2</v>
      </c>
      <c r="G90" s="145">
        <v>1.97</v>
      </c>
      <c r="H90" s="165">
        <f t="shared" si="13"/>
        <v>108.29331925732106</v>
      </c>
      <c r="I90" s="60">
        <f t="shared" si="14"/>
        <v>0.96517505134532178</v>
      </c>
      <c r="J90" s="106"/>
    </row>
    <row r="91" spans="1:10" ht="15" hidden="1" x14ac:dyDescent="0.2">
      <c r="A91" s="70">
        <f t="shared" si="15"/>
        <v>2012</v>
      </c>
      <c r="B91" s="71" t="s">
        <v>10</v>
      </c>
      <c r="C91" s="78">
        <v>122.1</v>
      </c>
      <c r="D91" s="78">
        <v>177.5</v>
      </c>
      <c r="E91" s="78">
        <v>128.4</v>
      </c>
      <c r="F91" s="78">
        <v>99.9</v>
      </c>
      <c r="G91" s="146">
        <v>2</v>
      </c>
      <c r="H91" s="166">
        <f t="shared" si="13"/>
        <v>109.25827194239672</v>
      </c>
      <c r="I91" s="61">
        <f t="shared" si="14"/>
        <v>0.704007741094126</v>
      </c>
      <c r="J91" s="33"/>
    </row>
    <row r="92" spans="1:10" ht="15" hidden="1" x14ac:dyDescent="0.2">
      <c r="A92" s="32">
        <f t="shared" si="15"/>
        <v>2012</v>
      </c>
      <c r="B92" s="33" t="s">
        <v>11</v>
      </c>
      <c r="C92" s="78">
        <f>C91</f>
        <v>122.1</v>
      </c>
      <c r="D92" s="78">
        <v>180.6</v>
      </c>
      <c r="E92" s="78">
        <v>129</v>
      </c>
      <c r="F92" s="78">
        <v>99.3</v>
      </c>
      <c r="G92" s="144">
        <v>1.94</v>
      </c>
      <c r="H92" s="164">
        <f t="shared" si="13"/>
        <v>109.53779353454972</v>
      </c>
      <c r="I92" s="59">
        <f t="shared" si="14"/>
        <v>0.58771621343732716</v>
      </c>
      <c r="J92" s="101"/>
    </row>
    <row r="93" spans="1:10" ht="15" hidden="1" x14ac:dyDescent="0.2">
      <c r="A93" s="63">
        <f t="shared" si="15"/>
        <v>2012</v>
      </c>
      <c r="B93" s="64" t="s">
        <v>12</v>
      </c>
      <c r="C93" s="139">
        <f t="shared" ref="C93:C99" si="16">C91</f>
        <v>122.1</v>
      </c>
      <c r="D93" s="139">
        <v>178.2</v>
      </c>
      <c r="E93" s="139">
        <v>129</v>
      </c>
      <c r="F93" s="139">
        <v>99.8</v>
      </c>
      <c r="G93" s="145">
        <v>1.81</v>
      </c>
      <c r="H93" s="165">
        <f t="shared" si="13"/>
        <v>109.13490121154003</v>
      </c>
      <c r="I93" s="60">
        <f t="shared" si="14"/>
        <v>0.52182893617234893</v>
      </c>
      <c r="J93" s="102"/>
    </row>
    <row r="94" spans="1:10" ht="15" hidden="1" x14ac:dyDescent="0.2">
      <c r="A94" s="70">
        <f t="shared" si="15"/>
        <v>2012</v>
      </c>
      <c r="B94" s="75" t="s">
        <v>30</v>
      </c>
      <c r="C94" s="157">
        <v>122.6</v>
      </c>
      <c r="D94" s="157">
        <v>173.7</v>
      </c>
      <c r="E94" s="157">
        <v>129</v>
      </c>
      <c r="F94" s="157">
        <v>99.6</v>
      </c>
      <c r="G94" s="158">
        <v>1.54</v>
      </c>
      <c r="H94" s="166">
        <f t="shared" si="13"/>
        <v>108.51726978812567</v>
      </c>
      <c r="I94" s="61">
        <f t="shared" si="14"/>
        <v>-0.57433729435000969</v>
      </c>
      <c r="J94" s="103"/>
    </row>
    <row r="95" spans="1:10" ht="15" hidden="1" x14ac:dyDescent="0.2">
      <c r="A95" s="32">
        <f t="shared" si="15"/>
        <v>2012</v>
      </c>
      <c r="B95" s="33" t="s">
        <v>13</v>
      </c>
      <c r="C95" s="78">
        <f>C94</f>
        <v>122.6</v>
      </c>
      <c r="D95" s="157">
        <v>168.3</v>
      </c>
      <c r="E95" s="78">
        <v>128.80000000000001</v>
      </c>
      <c r="F95" s="78">
        <v>101</v>
      </c>
      <c r="G95" s="159">
        <v>1.64</v>
      </c>
      <c r="H95" s="164">
        <f t="shared" si="13"/>
        <v>108.11610912573073</v>
      </c>
      <c r="I95" s="59">
        <f t="shared" si="14"/>
        <v>0.44046150737741446</v>
      </c>
      <c r="J95" s="104"/>
    </row>
    <row r="96" spans="1:10" ht="15" hidden="1" x14ac:dyDescent="0.2">
      <c r="A96" s="63">
        <f t="shared" si="15"/>
        <v>2012</v>
      </c>
      <c r="B96" s="64" t="s">
        <v>14</v>
      </c>
      <c r="C96" s="139">
        <f t="shared" si="16"/>
        <v>122.6</v>
      </c>
      <c r="D96" s="160">
        <v>175.4</v>
      </c>
      <c r="E96" s="139">
        <v>128.80000000000001</v>
      </c>
      <c r="F96" s="139">
        <v>101.1</v>
      </c>
      <c r="G96" s="161">
        <v>1.44</v>
      </c>
      <c r="H96" s="167">
        <f t="shared" si="13"/>
        <v>108.71904368898144</v>
      </c>
      <c r="I96" s="44">
        <f t="shared" si="14"/>
        <v>-5.5150130955348008E-2</v>
      </c>
      <c r="J96" s="105"/>
    </row>
    <row r="97" spans="1:10" ht="15" hidden="1" x14ac:dyDescent="0.2">
      <c r="A97" s="70">
        <f t="shared" si="15"/>
        <v>2012</v>
      </c>
      <c r="B97" s="33" t="s">
        <v>15</v>
      </c>
      <c r="C97" s="78">
        <v>122.8</v>
      </c>
      <c r="D97" s="157">
        <v>180.3</v>
      </c>
      <c r="E97" s="78">
        <v>129.19999999999999</v>
      </c>
      <c r="F97" s="78">
        <v>101.8</v>
      </c>
      <c r="G97" s="159">
        <v>1.46</v>
      </c>
      <c r="H97" s="168">
        <f t="shared" si="13"/>
        <v>109.53061868569037</v>
      </c>
      <c r="I97" s="45">
        <f t="shared" si="14"/>
        <v>-0.52516532922086634</v>
      </c>
      <c r="J97" s="103"/>
    </row>
    <row r="98" spans="1:10" ht="15" hidden="1" x14ac:dyDescent="0.2">
      <c r="A98" s="32">
        <f t="shared" si="15"/>
        <v>2012</v>
      </c>
      <c r="B98" s="33" t="s">
        <v>16</v>
      </c>
      <c r="C98" s="78">
        <f>C97</f>
        <v>122.8</v>
      </c>
      <c r="D98" s="157">
        <v>180.5</v>
      </c>
      <c r="E98" s="157">
        <v>129.5</v>
      </c>
      <c r="F98" s="157">
        <v>101.4</v>
      </c>
      <c r="G98" s="159">
        <v>1.54</v>
      </c>
      <c r="H98" s="167">
        <f t="shared" si="13"/>
        <v>109.63876118087016</v>
      </c>
      <c r="I98" s="46">
        <f t="shared" si="14"/>
        <v>0.12064722026814184</v>
      </c>
      <c r="J98" s="33"/>
    </row>
    <row r="99" spans="1:10" ht="15" hidden="1" customHeight="1" thickBot="1" x14ac:dyDescent="0.25">
      <c r="A99" s="72">
        <f t="shared" si="15"/>
        <v>2012</v>
      </c>
      <c r="B99" s="73" t="s">
        <v>17</v>
      </c>
      <c r="C99" s="135">
        <f t="shared" si="16"/>
        <v>122.8</v>
      </c>
      <c r="D99" s="162">
        <f>D98</f>
        <v>180.5</v>
      </c>
      <c r="E99" s="135">
        <v>129.4</v>
      </c>
      <c r="F99" s="135">
        <v>100.5</v>
      </c>
      <c r="G99" s="163">
        <v>1.67</v>
      </c>
      <c r="H99" s="169">
        <f t="shared" si="13"/>
        <v>109.71193763101257</v>
      </c>
      <c r="I99" s="47">
        <f t="shared" si="14"/>
        <v>0.67120097133857404</v>
      </c>
      <c r="J99" s="67"/>
    </row>
    <row r="100" spans="1:10" ht="15" hidden="1" x14ac:dyDescent="0.2">
      <c r="A100" s="74">
        <v>2013</v>
      </c>
      <c r="B100" s="33" t="s">
        <v>7</v>
      </c>
      <c r="C100" s="174">
        <f>123.1*1.0101</f>
        <v>124.34330999999999</v>
      </c>
      <c r="D100" s="157">
        <v>174.9</v>
      </c>
      <c r="E100" s="157">
        <v>129.30000000000001</v>
      </c>
      <c r="F100" s="157">
        <v>100.2</v>
      </c>
      <c r="G100" s="159">
        <v>1.47</v>
      </c>
      <c r="H100" s="175">
        <f t="shared" ref="H100:H112" si="17">100+((C100-$C$40)/$C$40*100*$C$2)+((D100-$D$40)/$D$40*100*$D$2)+((E100-$E$40)/$E$40*100*$E$2)+((F100-$F$40)/$F$40*100*$F$2)+((G100-$G$40)/$G$40*100*$G$2)</f>
        <v>109.61162330376909</v>
      </c>
      <c r="J100" s="177" t="s">
        <v>40</v>
      </c>
    </row>
    <row r="101" spans="1:10" ht="15" hidden="1" x14ac:dyDescent="0.2">
      <c r="A101" s="32">
        <f>A100</f>
        <v>2013</v>
      </c>
      <c r="B101" s="33" t="s">
        <v>8</v>
      </c>
      <c r="C101" s="174">
        <f>123.1*1.0101</f>
        <v>124.34330999999999</v>
      </c>
      <c r="D101" s="157">
        <v>170.5</v>
      </c>
      <c r="E101" s="157">
        <v>128.9</v>
      </c>
      <c r="F101" s="157">
        <v>100.7</v>
      </c>
      <c r="G101" s="159">
        <v>1.44</v>
      </c>
      <c r="H101" s="175">
        <f t="shared" si="17"/>
        <v>109.06871627848055</v>
      </c>
      <c r="J101" s="177" t="s">
        <v>41</v>
      </c>
    </row>
    <row r="102" spans="1:10" ht="15" hidden="1" x14ac:dyDescent="0.2">
      <c r="A102" s="63">
        <f t="shared" ref="A102:A111" si="18">A101</f>
        <v>2013</v>
      </c>
      <c r="B102" s="64" t="s">
        <v>9</v>
      </c>
      <c r="C102" s="160">
        <f>123.1*1.0101</f>
        <v>124.34330999999999</v>
      </c>
      <c r="D102" s="160">
        <v>171.1</v>
      </c>
      <c r="E102" s="139">
        <v>128.4</v>
      </c>
      <c r="F102" s="160">
        <v>99.5</v>
      </c>
      <c r="G102" s="161">
        <v>1.69</v>
      </c>
      <c r="H102" s="165">
        <f t="shared" si="17"/>
        <v>109.30875268340239</v>
      </c>
    </row>
    <row r="103" spans="1:10" ht="15" hidden="1" x14ac:dyDescent="0.2">
      <c r="A103" s="70">
        <f t="shared" si="18"/>
        <v>2013</v>
      </c>
      <c r="B103" s="71" t="s">
        <v>10</v>
      </c>
      <c r="C103" s="157">
        <f>123.7 * 1.0101</f>
        <v>124.94937</v>
      </c>
      <c r="D103" s="157">
        <v>174.5</v>
      </c>
      <c r="E103" s="157">
        <v>129.9</v>
      </c>
      <c r="F103" s="157">
        <f>F102*(1+(((SUM(F$88:F$99)-SUM(F$76:F$87))/SUM(F$76:F$87))/12))</f>
        <v>99.690938166311312</v>
      </c>
      <c r="G103" s="159">
        <v>1.54</v>
      </c>
      <c r="H103" s="150">
        <f t="shared" si="17"/>
        <v>109.98126889310322</v>
      </c>
    </row>
    <row r="104" spans="1:10" ht="15" hidden="1" x14ac:dyDescent="0.2">
      <c r="A104" s="32">
        <f t="shared" si="18"/>
        <v>2013</v>
      </c>
      <c r="B104" s="33" t="s">
        <v>11</v>
      </c>
      <c r="C104" s="157">
        <f>123.7 * 1.0101</f>
        <v>124.94937</v>
      </c>
      <c r="D104" s="157">
        <v>171.1</v>
      </c>
      <c r="E104" s="157">
        <f>E103*(1+(((SUM(E$88:E$99)-SUM(E$76:E$87))/SUM(E$76:E$87))/12))</f>
        <v>130.16857290142343</v>
      </c>
      <c r="F104" s="157">
        <v>99.6</v>
      </c>
      <c r="G104" s="159">
        <v>1.45</v>
      </c>
      <c r="H104" s="55">
        <f t="shared" si="17"/>
        <v>109.4734730209545</v>
      </c>
    </row>
    <row r="105" spans="1:10" ht="15" hidden="1" x14ac:dyDescent="0.2">
      <c r="A105" s="63">
        <f t="shared" si="18"/>
        <v>2013</v>
      </c>
      <c r="B105" s="64" t="s">
        <v>12</v>
      </c>
      <c r="C105" s="160">
        <f>123.7 * 1.0101</f>
        <v>124.94937</v>
      </c>
      <c r="D105" s="160">
        <v>164.4</v>
      </c>
      <c r="E105" s="160">
        <v>130</v>
      </c>
      <c r="F105" s="160">
        <v>100.5</v>
      </c>
      <c r="G105" s="161">
        <v>1.33</v>
      </c>
      <c r="H105" s="149">
        <f t="shared" si="17"/>
        <v>108.59665368749857</v>
      </c>
    </row>
    <row r="106" spans="1:10" ht="15" hidden="1" x14ac:dyDescent="0.2">
      <c r="A106" s="70">
        <f t="shared" si="18"/>
        <v>2013</v>
      </c>
      <c r="B106" s="75" t="s">
        <v>30</v>
      </c>
      <c r="C106" s="157">
        <f>124.1 * 1.0101</f>
        <v>125.35341</v>
      </c>
      <c r="D106" s="157">
        <v>165.7</v>
      </c>
      <c r="E106" s="157">
        <v>130.1</v>
      </c>
      <c r="F106" s="157">
        <v>100.1</v>
      </c>
      <c r="G106" s="159">
        <v>1.38</v>
      </c>
      <c r="H106" s="150">
        <f t="shared" si="17"/>
        <v>109.00738642005831</v>
      </c>
    </row>
    <row r="107" spans="1:10" ht="15" hidden="1" x14ac:dyDescent="0.2">
      <c r="A107" s="32">
        <f t="shared" si="18"/>
        <v>2013</v>
      </c>
      <c r="B107" s="33" t="s">
        <v>13</v>
      </c>
      <c r="C107" s="157">
        <f>124.1 * 1.0101</f>
        <v>125.35341</v>
      </c>
      <c r="D107" s="157">
        <v>165.3</v>
      </c>
      <c r="E107" s="157">
        <v>130</v>
      </c>
      <c r="F107" s="157">
        <v>100.2</v>
      </c>
      <c r="G107" s="159">
        <v>1.56</v>
      </c>
      <c r="H107" s="55">
        <f t="shared" si="17"/>
        <v>109.18852485490916</v>
      </c>
    </row>
    <row r="108" spans="1:10" ht="15" hidden="1" x14ac:dyDescent="0.2">
      <c r="A108" s="63">
        <f t="shared" si="18"/>
        <v>2013</v>
      </c>
      <c r="B108" s="64" t="s">
        <v>14</v>
      </c>
      <c r="C108" s="160">
        <f>124.1 * 1.0101</f>
        <v>125.35341</v>
      </c>
      <c r="D108" s="160">
        <v>169.4</v>
      </c>
      <c r="E108" s="160">
        <v>129.6</v>
      </c>
      <c r="F108" s="160">
        <v>99.6</v>
      </c>
      <c r="G108" s="161">
        <v>1.57</v>
      </c>
      <c r="H108" s="179">
        <f t="shared" si="17"/>
        <v>109.60588031131111</v>
      </c>
    </row>
    <row r="109" spans="1:10" ht="15" hidden="1" x14ac:dyDescent="0.2">
      <c r="A109" s="70">
        <f t="shared" si="18"/>
        <v>2013</v>
      </c>
      <c r="B109" s="33" t="s">
        <v>15</v>
      </c>
      <c r="C109" s="157">
        <f>124.4*1.0101</f>
        <v>125.65644</v>
      </c>
      <c r="D109" s="157">
        <v>168.6</v>
      </c>
      <c r="E109" s="157">
        <v>129.69999999999999</v>
      </c>
      <c r="F109" s="157">
        <v>99.6</v>
      </c>
      <c r="G109" s="159">
        <v>1.7</v>
      </c>
      <c r="H109" s="66">
        <f t="shared" si="17"/>
        <v>109.84851052508078</v>
      </c>
    </row>
    <row r="110" spans="1:10" ht="15" hidden="1" x14ac:dyDescent="0.2">
      <c r="A110" s="32">
        <f t="shared" si="18"/>
        <v>2013</v>
      </c>
      <c r="B110" s="33" t="s">
        <v>16</v>
      </c>
      <c r="C110" s="157">
        <f>124.4*1.0101</f>
        <v>125.65644</v>
      </c>
      <c r="D110" s="157">
        <v>173.5</v>
      </c>
      <c r="E110" s="157">
        <v>130.1</v>
      </c>
      <c r="F110" s="157">
        <v>99.3</v>
      </c>
      <c r="G110" s="159">
        <v>1.63</v>
      </c>
      <c r="H110" s="66">
        <f t="shared" si="17"/>
        <v>110.34369278648441</v>
      </c>
    </row>
    <row r="111" spans="1:10" ht="15.75" hidden="1" thickBot="1" x14ac:dyDescent="0.25">
      <c r="A111" s="72">
        <f t="shared" si="18"/>
        <v>2013</v>
      </c>
      <c r="B111" s="73" t="s">
        <v>17</v>
      </c>
      <c r="C111" s="162">
        <f>124.4*1.0101</f>
        <v>125.65644</v>
      </c>
      <c r="D111" s="162">
        <v>169.1</v>
      </c>
      <c r="E111" s="162">
        <v>130.30000000000001</v>
      </c>
      <c r="F111" s="162">
        <v>99.3</v>
      </c>
      <c r="G111" s="163">
        <v>1.69</v>
      </c>
      <c r="H111" s="137">
        <f t="shared" si="17"/>
        <v>109.90920777464092</v>
      </c>
      <c r="I111" s="13"/>
    </row>
    <row r="112" spans="1:10" ht="15" hidden="1" x14ac:dyDescent="0.2">
      <c r="A112" s="74">
        <v>2014</v>
      </c>
      <c r="B112" s="88" t="s">
        <v>7</v>
      </c>
      <c r="C112" s="157">
        <f>124.6*1.0101</f>
        <v>125.85845999999999</v>
      </c>
      <c r="D112" s="157">
        <v>167</v>
      </c>
      <c r="E112" s="157">
        <v>130</v>
      </c>
      <c r="F112" s="157">
        <v>98.7</v>
      </c>
      <c r="G112" s="159">
        <v>1.49</v>
      </c>
      <c r="H112" s="66">
        <f t="shared" si="17"/>
        <v>109.44285671614632</v>
      </c>
    </row>
    <row r="113" spans="1:10" ht="15" hidden="1" x14ac:dyDescent="0.2">
      <c r="A113" s="32">
        <f>A112</f>
        <v>2014</v>
      </c>
      <c r="B113" s="33" t="s">
        <v>8</v>
      </c>
      <c r="C113" s="157">
        <f>124.6*1.0101</f>
        <v>125.85845999999999</v>
      </c>
      <c r="D113" s="157">
        <v>167.8</v>
      </c>
      <c r="E113" s="157">
        <v>129.9</v>
      </c>
      <c r="F113" s="157">
        <v>99.1</v>
      </c>
      <c r="G113" s="159">
        <v>1.58</v>
      </c>
      <c r="H113" s="66">
        <f t="shared" ref="H113:H123" si="19">100+((C113-$C$40)/$C$40*100*$C$2)+((D113-$D$40)/$D$40*100*$D$2)+((E113-$E$40)/$E$40*100*$E$2)+((F113-$F$40)/$F$40*100*$F$2)+((G113-$G$40)/$G$40*100*$G$2)</f>
        <v>109.6814511318544</v>
      </c>
    </row>
    <row r="114" spans="1:10" ht="15" hidden="1" x14ac:dyDescent="0.2">
      <c r="A114" s="63">
        <f t="shared" ref="A114:A123" si="20">A113</f>
        <v>2014</v>
      </c>
      <c r="B114" s="64" t="s">
        <v>9</v>
      </c>
      <c r="C114" s="160">
        <f>124.6*1.0101</f>
        <v>125.85845999999999</v>
      </c>
      <c r="D114" s="160">
        <v>166.5</v>
      </c>
      <c r="E114" s="160">
        <v>129.69999999999999</v>
      </c>
      <c r="F114" s="180">
        <v>98.9</v>
      </c>
      <c r="G114" s="161">
        <v>1.52</v>
      </c>
      <c r="H114" s="179">
        <f t="shared" si="19"/>
        <v>109.41882712501318</v>
      </c>
      <c r="J114" s="177" t="s">
        <v>42</v>
      </c>
    </row>
    <row r="115" spans="1:10" ht="15" hidden="1" x14ac:dyDescent="0.2">
      <c r="A115" s="70">
        <f t="shared" si="20"/>
        <v>2014</v>
      </c>
      <c r="B115" s="71" t="s">
        <v>10</v>
      </c>
      <c r="C115" s="157">
        <f>125.1*1.0101</f>
        <v>126.36350999999999</v>
      </c>
      <c r="D115" s="157">
        <v>167.3</v>
      </c>
      <c r="E115" s="157">
        <v>130.6</v>
      </c>
      <c r="F115" s="174">
        <v>99.1</v>
      </c>
      <c r="G115" s="159">
        <v>1.46</v>
      </c>
      <c r="H115" s="66">
        <f t="shared" si="19"/>
        <v>109.7985019237603</v>
      </c>
    </row>
    <row r="116" spans="1:10" ht="15" hidden="1" x14ac:dyDescent="0.2">
      <c r="A116" s="32">
        <f t="shared" si="20"/>
        <v>2014</v>
      </c>
      <c r="B116" s="33" t="s">
        <v>11</v>
      </c>
      <c r="C116" s="157">
        <f>125.1*1.0101</f>
        <v>126.36350999999999</v>
      </c>
      <c r="D116" s="157">
        <v>166.4</v>
      </c>
      <c r="E116" s="157">
        <v>130.69999999999999</v>
      </c>
      <c r="F116" s="174">
        <v>98.8</v>
      </c>
      <c r="G116" s="159">
        <v>1.43</v>
      </c>
      <c r="H116" s="66">
        <f t="shared" si="19"/>
        <v>109.63274323931731</v>
      </c>
    </row>
    <row r="117" spans="1:10" ht="15" hidden="1" x14ac:dyDescent="0.2">
      <c r="A117" s="63">
        <f t="shared" si="20"/>
        <v>2014</v>
      </c>
      <c r="B117" s="64" t="s">
        <v>12</v>
      </c>
      <c r="C117" s="160">
        <f>125.1*1.0101</f>
        <v>126.36350999999999</v>
      </c>
      <c r="D117" s="160">
        <v>165.5</v>
      </c>
      <c r="E117" s="160">
        <v>130.9</v>
      </c>
      <c r="F117" s="192">
        <v>98.7</v>
      </c>
      <c r="G117" s="161">
        <v>1.39</v>
      </c>
      <c r="H117" s="149">
        <f t="shared" si="19"/>
        <v>109.47986993556179</v>
      </c>
    </row>
    <row r="118" spans="1:10" ht="15" hidden="1" x14ac:dyDescent="0.2">
      <c r="A118" s="70">
        <f t="shared" si="20"/>
        <v>2014</v>
      </c>
      <c r="B118" s="75" t="s">
        <v>30</v>
      </c>
      <c r="C118" s="157">
        <f>125.4*1.0101</f>
        <v>126.66654000000001</v>
      </c>
      <c r="D118" s="157">
        <v>164.6</v>
      </c>
      <c r="E118" s="157">
        <v>130.80000000000001</v>
      </c>
      <c r="F118" s="174">
        <v>98.9</v>
      </c>
      <c r="G118" s="159">
        <v>1.3</v>
      </c>
      <c r="H118" s="150">
        <f t="shared" si="19"/>
        <v>109.43855060393879</v>
      </c>
    </row>
    <row r="119" spans="1:10" ht="15" hidden="1" x14ac:dyDescent="0.2">
      <c r="A119" s="32">
        <f t="shared" si="20"/>
        <v>2014</v>
      </c>
      <c r="B119" s="33" t="s">
        <v>13</v>
      </c>
      <c r="C119" s="157">
        <f>125.4*1.0101</f>
        <v>126.66654000000001</v>
      </c>
      <c r="D119" s="157">
        <v>166.5</v>
      </c>
      <c r="E119" s="157">
        <v>130.69999999999999</v>
      </c>
      <c r="F119" s="174">
        <v>99</v>
      </c>
      <c r="G119" s="159">
        <v>1.29</v>
      </c>
      <c r="H119" s="66">
        <f t="shared" si="19"/>
        <v>109.6545048519073</v>
      </c>
    </row>
    <row r="120" spans="1:10" ht="15" hidden="1" x14ac:dyDescent="0.2">
      <c r="A120" s="63">
        <f t="shared" si="20"/>
        <v>2014</v>
      </c>
      <c r="B120" s="64" t="s">
        <v>14</v>
      </c>
      <c r="C120" s="160">
        <f>125.4*1.0101</f>
        <v>126.66654000000001</v>
      </c>
      <c r="D120" s="160">
        <v>164.9</v>
      </c>
      <c r="E120" s="160">
        <v>130.6</v>
      </c>
      <c r="F120" s="180">
        <v>98.9</v>
      </c>
      <c r="G120" s="161">
        <v>1.3</v>
      </c>
      <c r="H120" s="179">
        <f t="shared" si="19"/>
        <v>109.46041207580026</v>
      </c>
    </row>
    <row r="121" spans="1:10" ht="15" hidden="1" x14ac:dyDescent="0.2">
      <c r="A121" s="70">
        <f t="shared" si="20"/>
        <v>2014</v>
      </c>
      <c r="B121" s="33" t="s">
        <v>15</v>
      </c>
      <c r="C121" s="157">
        <f>125.9*1.0101</f>
        <v>127.17159000000001</v>
      </c>
      <c r="D121" s="157">
        <v>165.3</v>
      </c>
      <c r="E121" s="157">
        <v>130.4</v>
      </c>
      <c r="F121" s="174">
        <v>98.9</v>
      </c>
      <c r="G121" s="159">
        <v>1.22</v>
      </c>
      <c r="H121" s="150">
        <f t="shared" si="19"/>
        <v>109.67258252792017</v>
      </c>
    </row>
    <row r="122" spans="1:10" ht="15" hidden="1" x14ac:dyDescent="0.2">
      <c r="A122" s="32">
        <f t="shared" si="20"/>
        <v>2014</v>
      </c>
      <c r="B122" s="33" t="s">
        <v>16</v>
      </c>
      <c r="C122" s="157">
        <f>125.9*1.0101</f>
        <v>127.17159000000001</v>
      </c>
      <c r="D122" s="157">
        <v>163.6</v>
      </c>
      <c r="E122" s="157">
        <v>130.80000000000001</v>
      </c>
      <c r="F122" s="196">
        <f>+F$121*(103.5/103.3)</f>
        <v>99.091481122942895</v>
      </c>
      <c r="G122" s="159">
        <v>1.18</v>
      </c>
      <c r="H122" s="66">
        <f t="shared" si="19"/>
        <v>109.46534073069375</v>
      </c>
      <c r="J122" s="195" t="s">
        <v>63</v>
      </c>
    </row>
    <row r="123" spans="1:10" ht="15.75" hidden="1" thickBot="1" x14ac:dyDescent="0.25">
      <c r="A123" s="72">
        <f t="shared" si="20"/>
        <v>2014</v>
      </c>
      <c r="B123" s="73" t="s">
        <v>17</v>
      </c>
      <c r="C123" s="162">
        <f>125.9*1.0101</f>
        <v>127.17159000000001</v>
      </c>
      <c r="D123" s="162">
        <v>158.9</v>
      </c>
      <c r="E123" s="162">
        <v>130.9</v>
      </c>
      <c r="F123" s="197">
        <f>+F$121*(103.5/103.3)</f>
        <v>99.091481122942895</v>
      </c>
      <c r="G123" s="163">
        <v>1.23</v>
      </c>
      <c r="H123" s="137">
        <f t="shared" si="19"/>
        <v>108.97563640985736</v>
      </c>
      <c r="I123" s="13"/>
    </row>
    <row r="124" spans="1:10" ht="15" hidden="1" x14ac:dyDescent="0.2">
      <c r="A124" s="74">
        <v>2015</v>
      </c>
      <c r="B124" s="185" t="s">
        <v>7</v>
      </c>
      <c r="C124" s="157">
        <f>126.4*1.0101</f>
        <v>127.67664000000001</v>
      </c>
      <c r="D124" s="220">
        <v>158.30000000000001</v>
      </c>
      <c r="E124" s="157">
        <v>130.6</v>
      </c>
      <c r="F124" s="220">
        <f>+F$121*(103.4/103.3)</f>
        <v>98.995740561471465</v>
      </c>
      <c r="G124" s="159">
        <v>1.17</v>
      </c>
      <c r="H124" s="66">
        <f t="shared" ref="H124:H147" si="21">100+((C124-$C$40)/$C$40*100*$C$2)+((D124-$D$40)/$D$40*100*$D$2)+((E124-$E$40)/$E$40*100*$E$2)+((F124-$F$40)/$F$40*100*$F$2)+((G124-$G$40)/$G$40*100*$G$2)</f>
        <v>109.07811607227877</v>
      </c>
      <c r="I124" s="13"/>
      <c r="J124" s="199"/>
    </row>
    <row r="125" spans="1:10" ht="15" hidden="1" x14ac:dyDescent="0.2">
      <c r="A125" s="32">
        <f>A124</f>
        <v>2015</v>
      </c>
      <c r="B125" s="33" t="s">
        <v>8</v>
      </c>
      <c r="C125" s="157">
        <f>126.4*1.0101</f>
        <v>127.67664000000001</v>
      </c>
      <c r="D125" s="221">
        <v>158.1</v>
      </c>
      <c r="E125" s="157">
        <v>130.30000000000001</v>
      </c>
      <c r="F125" s="221">
        <f>+F$121*(103.8/103.3)</f>
        <v>99.378702807357229</v>
      </c>
      <c r="G125" s="159">
        <v>1.1000000000000001</v>
      </c>
      <c r="H125" s="66">
        <f t="shared" si="21"/>
        <v>108.98097299894008</v>
      </c>
    </row>
    <row r="126" spans="1:10" ht="15" hidden="1" x14ac:dyDescent="0.2">
      <c r="A126" s="63">
        <f t="shared" ref="A126:A135" si="22">A125</f>
        <v>2015</v>
      </c>
      <c r="B126" s="64" t="s">
        <v>9</v>
      </c>
      <c r="C126" s="160">
        <f>126.4*1.0101</f>
        <v>127.67664000000001</v>
      </c>
      <c r="D126" s="160">
        <v>152.19999999999999</v>
      </c>
      <c r="E126" s="160">
        <v>129.6</v>
      </c>
      <c r="F126" s="223">
        <v>99.8</v>
      </c>
      <c r="G126" s="161">
        <v>0.87</v>
      </c>
      <c r="H126" s="179">
        <f t="shared" si="21"/>
        <v>107.9798481953391</v>
      </c>
    </row>
    <row r="127" spans="1:10" ht="15" hidden="1" x14ac:dyDescent="0.2">
      <c r="A127" s="70">
        <f t="shared" si="22"/>
        <v>2015</v>
      </c>
      <c r="B127" s="185" t="s">
        <v>10</v>
      </c>
      <c r="C127" s="157">
        <f>126.9*1.0101</f>
        <v>128.18169</v>
      </c>
      <c r="D127" s="157">
        <v>157.30000000000001</v>
      </c>
      <c r="E127" s="157">
        <v>130.9</v>
      </c>
      <c r="F127" s="221">
        <v>100</v>
      </c>
      <c r="G127" s="159">
        <v>0.82</v>
      </c>
      <c r="H127" s="66">
        <f t="shared" si="21"/>
        <v>108.91171200004879</v>
      </c>
      <c r="I127" s="13"/>
    </row>
    <row r="128" spans="1:10" ht="15" hidden="1" x14ac:dyDescent="0.2">
      <c r="A128" s="32">
        <f t="shared" si="22"/>
        <v>2015</v>
      </c>
      <c r="B128" s="33" t="s">
        <v>11</v>
      </c>
      <c r="C128" s="157">
        <f>126.9*1.0101</f>
        <v>128.18169</v>
      </c>
      <c r="D128" s="157">
        <v>155.9</v>
      </c>
      <c r="E128" s="157">
        <v>131.5</v>
      </c>
      <c r="F128" s="157">
        <v>100.3</v>
      </c>
      <c r="G128" s="159">
        <v>0.84</v>
      </c>
      <c r="H128" s="66">
        <f t="shared" si="21"/>
        <v>108.83956739281491</v>
      </c>
      <c r="I128" s="13"/>
    </row>
    <row r="129" spans="1:18" ht="15.75" hidden="1" thickBot="1" x14ac:dyDescent="0.25">
      <c r="A129" s="72">
        <f t="shared" si="22"/>
        <v>2015</v>
      </c>
      <c r="B129" s="73" t="s">
        <v>12</v>
      </c>
      <c r="C129" s="162">
        <f>126.9*1.0101</f>
        <v>128.18169</v>
      </c>
      <c r="D129" s="162">
        <v>157.6</v>
      </c>
      <c r="E129" s="162">
        <f>E128*(1+(((SUM(E$112:E$123)-SUM(E$100:E$111))/SUM(E$100:E$111))/12))</f>
        <v>131.56710611258526</v>
      </c>
      <c r="F129" s="162">
        <f>+F$121*(106/103.3)</f>
        <v>101.48499515972897</v>
      </c>
      <c r="G129" s="163">
        <v>0.76</v>
      </c>
      <c r="H129" s="137">
        <f t="shared" si="21"/>
        <v>109.0558022295948</v>
      </c>
      <c r="I129" s="13"/>
    </row>
    <row r="130" spans="1:18" ht="15" hidden="1" x14ac:dyDescent="0.2">
      <c r="A130" s="32">
        <f t="shared" si="22"/>
        <v>2015</v>
      </c>
      <c r="B130" s="33" t="s">
        <v>30</v>
      </c>
      <c r="C130" s="157">
        <f>127.2*1.0101</f>
        <v>128.48472000000001</v>
      </c>
      <c r="D130" s="157">
        <v>154.9</v>
      </c>
      <c r="E130" s="157">
        <f>E129*(1+(((SUM(E$112:E$123)-SUM(E$100:E$111))/SUM(E$100:E$111))/12))</f>
        <v>131.63424647026821</v>
      </c>
      <c r="F130" s="157">
        <f>+F$121*(106/103.3)</f>
        <v>101.48499515972897</v>
      </c>
      <c r="G130" s="159">
        <v>0.99</v>
      </c>
      <c r="H130" s="66">
        <f t="shared" si="21"/>
        <v>109.19575213815459</v>
      </c>
    </row>
    <row r="131" spans="1:18" ht="15" hidden="1" x14ac:dyDescent="0.2">
      <c r="A131" s="32">
        <f t="shared" si="22"/>
        <v>2015</v>
      </c>
      <c r="B131" s="33" t="s">
        <v>13</v>
      </c>
      <c r="C131" s="157">
        <f>127.2*1.0101</f>
        <v>128.48472000000001</v>
      </c>
      <c r="D131" s="157">
        <v>154.9</v>
      </c>
      <c r="E131" s="157">
        <v>131.6</v>
      </c>
      <c r="F131" s="157">
        <f>+F$121*(106.2/103.3)</f>
        <v>101.67647628267183</v>
      </c>
      <c r="G131" s="159">
        <v>1.1100000000000001</v>
      </c>
      <c r="H131" s="66">
        <f t="shared" si="21"/>
        <v>109.36207147735003</v>
      </c>
      <c r="I131" s="13"/>
    </row>
    <row r="132" spans="1:18" ht="15" hidden="1" x14ac:dyDescent="0.2">
      <c r="A132" s="63">
        <f t="shared" si="22"/>
        <v>2015</v>
      </c>
      <c r="B132" s="64" t="s">
        <v>14</v>
      </c>
      <c r="C132" s="160">
        <f>127.2*1.0101</f>
        <v>128.48472000000001</v>
      </c>
      <c r="D132" s="160">
        <v>155.4</v>
      </c>
      <c r="E132" s="160">
        <v>131.5</v>
      </c>
      <c r="F132" s="160">
        <f>+F$121*(106.3/103.3)</f>
        <v>101.77221684414327</v>
      </c>
      <c r="G132" s="161">
        <v>1</v>
      </c>
      <c r="H132" s="179">
        <f t="shared" si="21"/>
        <v>109.28517809650209</v>
      </c>
      <c r="I132" s="13"/>
    </row>
    <row r="133" spans="1:18" ht="15" hidden="1" x14ac:dyDescent="0.2">
      <c r="A133" s="70">
        <f t="shared" si="22"/>
        <v>2015</v>
      </c>
      <c r="B133" s="185" t="s">
        <v>15</v>
      </c>
      <c r="C133" s="157">
        <f>127.8*1.0101</f>
        <v>129.09078</v>
      </c>
      <c r="D133" s="157">
        <v>152.69999999999999</v>
      </c>
      <c r="E133" s="157">
        <v>131.1</v>
      </c>
      <c r="F133" s="157">
        <f>+F$121*(106.5/103.3)</f>
        <v>101.96369796708616</v>
      </c>
      <c r="G133" s="159">
        <v>1.07</v>
      </c>
      <c r="H133" s="66">
        <f t="shared" si="21"/>
        <v>109.37668198369656</v>
      </c>
      <c r="I133" s="13"/>
    </row>
    <row r="134" spans="1:18" ht="15" hidden="1" x14ac:dyDescent="0.2">
      <c r="A134" s="32">
        <f t="shared" si="22"/>
        <v>2015</v>
      </c>
      <c r="B134" s="33" t="s">
        <v>16</v>
      </c>
      <c r="C134" s="157">
        <f>127.8*1.0101</f>
        <v>129.09078</v>
      </c>
      <c r="D134" s="157">
        <v>151.5</v>
      </c>
      <c r="E134" s="157">
        <v>131.4</v>
      </c>
      <c r="F134" s="157">
        <f>+F$121*(106.5/103.3)</f>
        <v>101.96369796708616</v>
      </c>
      <c r="G134" s="159">
        <v>1.1200000000000001</v>
      </c>
      <c r="H134" s="66">
        <f t="shared" si="21"/>
        <v>109.31749714337964</v>
      </c>
    </row>
    <row r="135" spans="1:18" ht="15.75" hidden="1" thickBot="1" x14ac:dyDescent="0.25">
      <c r="A135" s="72">
        <f t="shared" si="22"/>
        <v>2015</v>
      </c>
      <c r="B135" s="73" t="s">
        <v>17</v>
      </c>
      <c r="C135" s="162">
        <f>127.8*1.0101</f>
        <v>129.09078</v>
      </c>
      <c r="D135" s="162">
        <v>149.5</v>
      </c>
      <c r="E135" s="162">
        <v>131.4</v>
      </c>
      <c r="F135" s="162">
        <f>+F$121*(106.7/103.3)</f>
        <v>102.15517909002905</v>
      </c>
      <c r="G135" s="163">
        <v>1.08</v>
      </c>
      <c r="H135" s="137">
        <f>100+((C135-$C$40)/$C$40*100*$C$2)+((D135-$D$40)/$D$40*100*$D$2)+((E135-$E$40)/$E$40*100*$E$2)+((F135-$F$40)/$F$40*100*$F$2)+((G135-$G$40)/$G$40*100*$G$2)</f>
        <v>109.04683543273333</v>
      </c>
      <c r="I135" s="13"/>
      <c r="L135" s="39"/>
    </row>
    <row r="136" spans="1:18" ht="15" hidden="1" x14ac:dyDescent="0.2">
      <c r="A136" s="74">
        <v>2016</v>
      </c>
      <c r="B136" s="185" t="s">
        <v>7</v>
      </c>
      <c r="C136" s="157">
        <f>128.2*1.0101</f>
        <v>129.49481999999998</v>
      </c>
      <c r="D136" s="220">
        <v>148</v>
      </c>
      <c r="E136" s="157">
        <v>131</v>
      </c>
      <c r="F136" s="220">
        <f>+F$121*(106.8/103.3)</f>
        <v>102.25091965150048</v>
      </c>
      <c r="G136" s="159">
        <v>1.03</v>
      </c>
      <c r="H136" s="66">
        <f t="shared" si="21"/>
        <v>109.00976581046113</v>
      </c>
      <c r="I136" s="199"/>
      <c r="K136" s="185"/>
      <c r="L136" s="157"/>
      <c r="M136" s="221"/>
      <c r="N136" s="221"/>
      <c r="O136" s="221"/>
      <c r="P136" s="159"/>
      <c r="Q136" s="66"/>
      <c r="R136" s="199"/>
    </row>
    <row r="137" spans="1:18" ht="15" hidden="1" x14ac:dyDescent="0.2">
      <c r="A137" s="32">
        <f>A136</f>
        <v>2016</v>
      </c>
      <c r="B137" s="33" t="s">
        <v>8</v>
      </c>
      <c r="C137" s="157">
        <f>128.2*1.0101</f>
        <v>129.49481999999998</v>
      </c>
      <c r="D137" s="157">
        <v>144.6</v>
      </c>
      <c r="E137" s="157">
        <f>E136*(1+(((SUM(E$124:E$135)-SUM(E$112:E$123))/SUM(E$112:E$123))/12))</f>
        <v>131.04950389465483</v>
      </c>
      <c r="F137" s="157">
        <f>+F$121*(106.8/103.3)</f>
        <v>102.25091965150048</v>
      </c>
      <c r="G137" s="159">
        <v>1.0900000000000001</v>
      </c>
      <c r="H137" s="66">
        <f t="shared" si="21"/>
        <v>108.68390444500064</v>
      </c>
      <c r="I137" s="13"/>
      <c r="L137" s="13"/>
    </row>
    <row r="138" spans="1:18" ht="15" hidden="1" x14ac:dyDescent="0.2">
      <c r="A138" s="63">
        <f t="shared" ref="A138:A147" si="23">A137</f>
        <v>2016</v>
      </c>
      <c r="B138" s="64" t="s">
        <v>9</v>
      </c>
      <c r="C138" s="160">
        <f>128.2*1.0101</f>
        <v>129.49481999999998</v>
      </c>
      <c r="D138" s="160">
        <v>141.19999999999999</v>
      </c>
      <c r="E138" s="246">
        <f>131/99.8*99.4</f>
        <v>130.47494989979961</v>
      </c>
      <c r="F138" s="160">
        <f>+F$121*(106.9/103.3)</f>
        <v>102.34666021297194</v>
      </c>
      <c r="G138" s="161">
        <f>+G137</f>
        <v>1.0900000000000001</v>
      </c>
      <c r="H138" s="179">
        <f t="shared" si="21"/>
        <v>108.24822058897202</v>
      </c>
      <c r="I138" s="13"/>
      <c r="L138" s="269" t="s">
        <v>82</v>
      </c>
    </row>
    <row r="139" spans="1:18" ht="15" hidden="1" x14ac:dyDescent="0.2">
      <c r="A139" s="70">
        <f t="shared" si="23"/>
        <v>2016</v>
      </c>
      <c r="B139" s="185" t="s">
        <v>10</v>
      </c>
      <c r="C139" s="157">
        <f>128.7*1.0101</f>
        <v>129.99986999999999</v>
      </c>
      <c r="D139" s="157">
        <v>137.80000000000001</v>
      </c>
      <c r="E139" s="249">
        <f>131/99.8*100.1</f>
        <v>131.3937875751503</v>
      </c>
      <c r="F139" s="157">
        <f>+F$121*(106.9/103.3)</f>
        <v>102.34666021297194</v>
      </c>
      <c r="G139" s="159">
        <v>0.96</v>
      </c>
      <c r="H139" s="66">
        <f t="shared" si="21"/>
        <v>108.0226122571907</v>
      </c>
      <c r="L139" s="13"/>
    </row>
    <row r="140" spans="1:18" ht="15" hidden="1" x14ac:dyDescent="0.2">
      <c r="A140" s="32">
        <f t="shared" si="23"/>
        <v>2016</v>
      </c>
      <c r="B140" s="33" t="s">
        <v>11</v>
      </c>
      <c r="C140" s="157">
        <f>128.7*1.0101</f>
        <v>129.99986999999999</v>
      </c>
      <c r="D140" s="157">
        <v>136.6</v>
      </c>
      <c r="E140" s="249">
        <f>131/99.8*100.2</f>
        <v>131.52505010020042</v>
      </c>
      <c r="F140" s="157">
        <f>+F$121*(107/103.3)</f>
        <v>102.44240077444337</v>
      </c>
      <c r="G140" s="159">
        <v>0.85</v>
      </c>
      <c r="H140" s="66">
        <f t="shared" si="21"/>
        <v>107.75935610751506</v>
      </c>
      <c r="L140" s="13"/>
    </row>
    <row r="141" spans="1:18" ht="15.75" hidden="1" thickBot="1" x14ac:dyDescent="0.25">
      <c r="A141" s="72">
        <f t="shared" si="23"/>
        <v>2016</v>
      </c>
      <c r="B141" s="73" t="s">
        <v>12</v>
      </c>
      <c r="C141" s="162">
        <f>128.7*1.0101</f>
        <v>129.99986999999999</v>
      </c>
      <c r="D141" s="162">
        <v>137.30000000000001</v>
      </c>
      <c r="E141" s="251">
        <f>131/99.8*100.3</f>
        <v>131.65631262525051</v>
      </c>
      <c r="F141" s="162">
        <f>+F$121*(106.8/103.3)</f>
        <v>102.25091965150048</v>
      </c>
      <c r="G141" s="163">
        <v>0.87</v>
      </c>
      <c r="H141" s="137">
        <f t="shared" si="21"/>
        <v>107.85919045732192</v>
      </c>
      <c r="L141" s="13"/>
    </row>
    <row r="142" spans="1:18" ht="15" hidden="1" x14ac:dyDescent="0.2">
      <c r="A142" s="32">
        <f t="shared" si="23"/>
        <v>2016</v>
      </c>
      <c r="B142" s="33" t="s">
        <v>30</v>
      </c>
      <c r="C142" s="157">
        <f>129.4*1.0101</f>
        <v>130.70694</v>
      </c>
      <c r="D142" s="174">
        <v>136.4</v>
      </c>
      <c r="E142" s="249">
        <f>131/99.8*100.5</f>
        <v>131.91883767535072</v>
      </c>
      <c r="F142" s="157">
        <f>+F$121*(106.7/103.3)</f>
        <v>102.15517909002905</v>
      </c>
      <c r="G142" s="159">
        <v>0.83</v>
      </c>
      <c r="H142" s="66">
        <f t="shared" si="21"/>
        <v>108.10168910043487</v>
      </c>
      <c r="L142" s="270" t="s">
        <v>84</v>
      </c>
    </row>
    <row r="143" spans="1:18" ht="15" hidden="1" x14ac:dyDescent="0.2">
      <c r="A143" s="32">
        <f t="shared" si="23"/>
        <v>2016</v>
      </c>
      <c r="B143" s="33" t="s">
        <v>13</v>
      </c>
      <c r="C143" s="157">
        <f>129.4*1.0101</f>
        <v>130.70694</v>
      </c>
      <c r="D143" s="174">
        <v>138.80000000000001</v>
      </c>
      <c r="E143" s="249">
        <f>131/99.8*100.6</f>
        <v>132.05010020040081</v>
      </c>
      <c r="F143" s="157">
        <f>+F$121*(107/103.3)</f>
        <v>102.44240077444337</v>
      </c>
      <c r="G143" s="159">
        <v>0.6</v>
      </c>
      <c r="H143" s="66">
        <f t="shared" si="21"/>
        <v>108.13380897596195</v>
      </c>
      <c r="L143" s="13"/>
    </row>
    <row r="144" spans="1:18" ht="15" hidden="1" x14ac:dyDescent="0.2">
      <c r="A144" s="63">
        <f t="shared" si="23"/>
        <v>2016</v>
      </c>
      <c r="B144" s="64" t="s">
        <v>14</v>
      </c>
      <c r="C144" s="160">
        <f>129.4*1.0101</f>
        <v>130.70694</v>
      </c>
      <c r="D144" s="180">
        <v>138.6</v>
      </c>
      <c r="E144" s="249">
        <f>131/99.8*100.5</f>
        <v>131.91883767535072</v>
      </c>
      <c r="F144" s="160">
        <f>+F$121*(107.2/103.3)</f>
        <v>102.63388189738627</v>
      </c>
      <c r="G144" s="161">
        <v>0.63</v>
      </c>
      <c r="H144" s="179">
        <f t="shared" si="21"/>
        <v>108.15639151743993</v>
      </c>
      <c r="L144" s="13"/>
    </row>
    <row r="145" spans="1:19" ht="15" hidden="1" x14ac:dyDescent="0.2">
      <c r="A145" s="70">
        <f t="shared" si="23"/>
        <v>2016</v>
      </c>
      <c r="B145" s="185" t="s">
        <v>15</v>
      </c>
      <c r="C145" s="157">
        <f>130*1.0101</f>
        <v>131.31299999999999</v>
      </c>
      <c r="D145" s="174">
        <v>133.19999999999999</v>
      </c>
      <c r="E145" s="249">
        <f>131/99.8*100.2</f>
        <v>131.52505010020042</v>
      </c>
      <c r="F145" s="157">
        <f>+F$121*(107.1/103.3)</f>
        <v>102.53814133591482</v>
      </c>
      <c r="G145" s="159">
        <v>0.64</v>
      </c>
      <c r="H145" s="66">
        <f t="shared" si="21"/>
        <v>107.8248034436311</v>
      </c>
      <c r="L145" s="13"/>
    </row>
    <row r="146" spans="1:19" ht="15" hidden="1" x14ac:dyDescent="0.2">
      <c r="A146" s="32">
        <f t="shared" si="23"/>
        <v>2016</v>
      </c>
      <c r="B146" s="33" t="s">
        <v>16</v>
      </c>
      <c r="C146" s="157">
        <f>130*1.0101</f>
        <v>131.31299999999999</v>
      </c>
      <c r="D146" s="174">
        <v>133.9</v>
      </c>
      <c r="E146" s="249">
        <f>131/99.8*100.2</f>
        <v>131.52505010020042</v>
      </c>
      <c r="F146" s="157">
        <f>+F$121*(107.2/103.3)</f>
        <v>102.63388189738627</v>
      </c>
      <c r="G146" s="159">
        <v>0.56000000000000005</v>
      </c>
      <c r="H146" s="66">
        <f t="shared" si="21"/>
        <v>107.81638184257569</v>
      </c>
      <c r="L146" s="13"/>
    </row>
    <row r="147" spans="1:19" ht="15.75" hidden="1" thickBot="1" x14ac:dyDescent="0.25">
      <c r="A147" s="72">
        <f t="shared" si="23"/>
        <v>2016</v>
      </c>
      <c r="B147" s="73" t="s">
        <v>17</v>
      </c>
      <c r="C147" s="162">
        <f>130*1.0101</f>
        <v>131.31299999999999</v>
      </c>
      <c r="D147" s="162">
        <v>141</v>
      </c>
      <c r="E147" s="251">
        <f>131/99.8*100.4</f>
        <v>131.78757515030063</v>
      </c>
      <c r="F147" s="162">
        <f>+F$121*(107.2/103.3)</f>
        <v>102.63388189738627</v>
      </c>
      <c r="G147" s="163">
        <v>0.77</v>
      </c>
      <c r="H147" s="137">
        <f t="shared" si="21"/>
        <v>108.94395443446371</v>
      </c>
      <c r="J147" s="72"/>
      <c r="K147" s="73"/>
      <c r="L147" s="162"/>
      <c r="M147" s="157"/>
      <c r="N147" s="157"/>
      <c r="O147" s="157"/>
      <c r="P147" s="159"/>
      <c r="Q147" s="66"/>
    </row>
    <row r="148" spans="1:19" ht="15" hidden="1" x14ac:dyDescent="0.2">
      <c r="A148" s="74">
        <v>2017</v>
      </c>
      <c r="B148" s="185" t="s">
        <v>7</v>
      </c>
      <c r="C148" s="157">
        <f>130.5*1.0101</f>
        <v>131.81805</v>
      </c>
      <c r="D148" s="157">
        <v>147.80000000000001</v>
      </c>
      <c r="E148" s="249">
        <f>131/99.8*100.3</f>
        <v>131.65631262525051</v>
      </c>
      <c r="F148" s="157">
        <f>+F$121*(107.2/103.3)</f>
        <v>102.63388189738627</v>
      </c>
      <c r="G148" s="159">
        <v>0.78</v>
      </c>
      <c r="H148" s="66">
        <f>100+((C148-$C$40)/$C$40*100*$C$2)+((D148-$D$40)/$D$40*100*$D$2)+((E148-$E$40)/$E$40*100*$E$2)+((F148-$F$40)/$F$40*100*$F$2)+((G148-$G$40)/$G$40*100*$G$2)</f>
        <v>110.03599823288414</v>
      </c>
      <c r="I148" s="13"/>
    </row>
    <row r="149" spans="1:19" ht="15" hidden="1" x14ac:dyDescent="0.2">
      <c r="A149" s="32">
        <f>A148</f>
        <v>2017</v>
      </c>
      <c r="B149" s="33" t="s">
        <v>8</v>
      </c>
      <c r="C149" s="157">
        <f>C146*(1+(((SUM(C$136:C$147)-SUM(C$124:C$135))/SUM(C$124:C$135))/4))</f>
        <v>131.82967519181585</v>
      </c>
      <c r="D149" s="157">
        <v>146.4</v>
      </c>
      <c r="E149" s="249">
        <f>131/99.8*100.3</f>
        <v>131.65631262525051</v>
      </c>
      <c r="F149" s="157">
        <f>+F$121*(107.1/103.3)</f>
        <v>102.53814133591482</v>
      </c>
      <c r="G149" s="159">
        <v>0.73</v>
      </c>
      <c r="H149" s="66">
        <f t="shared" ref="H149:H159" si="24">100+((C149-$C$40)/$C$40*100*$C$2)+((D149-$D$40)/$D$40*100*$D$2)+((E149-$E$40)/$E$40*100*$E$2)+((F149-$F$40)/$F$40*100*$F$2)+((G149-$G$40)/$G$40*100*$G$2)</f>
        <v>109.8039872459369</v>
      </c>
      <c r="I149" s="13"/>
    </row>
    <row r="150" spans="1:19" ht="15" hidden="1" x14ac:dyDescent="0.2">
      <c r="A150" s="63">
        <f t="shared" ref="A150:A159" si="25">A149</f>
        <v>2017</v>
      </c>
      <c r="B150" s="64" t="s">
        <v>9</v>
      </c>
      <c r="C150" s="160">
        <f>C147*(1+(((SUM(C$136:C$147)-SUM(C$124:C$135))/SUM(C$124:C$135))/4))</f>
        <v>131.82967519181585</v>
      </c>
      <c r="D150" s="160">
        <v>150.69999999999999</v>
      </c>
      <c r="E150" s="246">
        <f>131/99.8*100.3</f>
        <v>131.65631262525051</v>
      </c>
      <c r="F150" s="160">
        <f>+F$121*(107.4/103.3)</f>
        <v>102.82536302032916</v>
      </c>
      <c r="G150" s="161">
        <v>0.84</v>
      </c>
      <c r="H150" s="179">
        <f t="shared" si="24"/>
        <v>110.48087877700249</v>
      </c>
      <c r="I150" s="269"/>
    </row>
    <row r="151" spans="1:19" ht="15" hidden="1" x14ac:dyDescent="0.2">
      <c r="A151" s="70">
        <f t="shared" si="25"/>
        <v>2017</v>
      </c>
      <c r="B151" s="185" t="s">
        <v>10</v>
      </c>
      <c r="C151" s="157">
        <f>131.1*1.0101</f>
        <v>132.42410999999998</v>
      </c>
      <c r="D151" s="157">
        <v>150</v>
      </c>
      <c r="E151" s="249">
        <f>131/99.8*101.1</f>
        <v>132.70641282565131</v>
      </c>
      <c r="F151" s="157">
        <f>+F$121*(107.5/103.3)</f>
        <v>102.92110358180059</v>
      </c>
      <c r="G151" s="159">
        <v>0.78</v>
      </c>
      <c r="H151" s="66">
        <f t="shared" si="24"/>
        <v>110.73209897609581</v>
      </c>
      <c r="I151" s="13"/>
      <c r="J151" s="70"/>
      <c r="K151" s="185"/>
      <c r="L151" s="157"/>
      <c r="M151" s="157"/>
      <c r="N151" s="221"/>
      <c r="O151" s="157"/>
      <c r="P151" s="159"/>
      <c r="Q151" s="66"/>
      <c r="R151" s="13"/>
      <c r="S151" s="247"/>
    </row>
    <row r="152" spans="1:19" ht="15" hidden="1" x14ac:dyDescent="0.2">
      <c r="A152" s="32">
        <f t="shared" si="25"/>
        <v>2017</v>
      </c>
      <c r="B152" s="33" t="s">
        <v>11</v>
      </c>
      <c r="C152" s="157">
        <f>131.1*1.0101</f>
        <v>132.42410999999998</v>
      </c>
      <c r="D152" s="157">
        <v>142.9</v>
      </c>
      <c r="E152" s="249">
        <f>131/99.8*101.2</f>
        <v>132.8376753507014</v>
      </c>
      <c r="F152" s="157">
        <f>+F$121*(107.9/103.3)</f>
        <v>103.30406582768636</v>
      </c>
      <c r="G152" s="159">
        <v>0.67</v>
      </c>
      <c r="H152" s="66">
        <f t="shared" si="24"/>
        <v>109.7930838633258</v>
      </c>
      <c r="I152" s="13"/>
      <c r="J152" s="32"/>
      <c r="K152" s="33"/>
      <c r="L152" s="157"/>
      <c r="M152" s="157"/>
      <c r="N152" s="221"/>
      <c r="O152" s="157"/>
      <c r="P152" s="159"/>
      <c r="Q152" s="66"/>
      <c r="R152" s="13"/>
    </row>
    <row r="153" spans="1:19" ht="15.75" hidden="1" thickBot="1" x14ac:dyDescent="0.25">
      <c r="A153" s="72">
        <f t="shared" si="25"/>
        <v>2017</v>
      </c>
      <c r="B153" s="73" t="s">
        <v>12</v>
      </c>
      <c r="C153" s="162">
        <f>131.1*1.0101</f>
        <v>132.42410999999998</v>
      </c>
      <c r="D153" s="162">
        <v>143.9</v>
      </c>
      <c r="E153" s="251">
        <f>131/99.8*101.4</f>
        <v>133.10020040080161</v>
      </c>
      <c r="F153" s="162">
        <f>+F$121*(107.7/103.3)</f>
        <v>103.11258470474348</v>
      </c>
      <c r="G153" s="163">
        <v>0.75</v>
      </c>
      <c r="H153" s="137">
        <f t="shared" si="24"/>
        <v>110.01319597358699</v>
      </c>
      <c r="I153" s="222"/>
    </row>
    <row r="154" spans="1:19" ht="15" hidden="1" x14ac:dyDescent="0.2">
      <c r="A154" s="32">
        <f t="shared" si="25"/>
        <v>2017</v>
      </c>
      <c r="B154" s="33" t="s">
        <v>30</v>
      </c>
      <c r="C154" s="157">
        <f>131.4*1.0101</f>
        <v>132.72713999999999</v>
      </c>
      <c r="D154" s="157">
        <v>142.9</v>
      </c>
      <c r="E154" s="249">
        <f>131/99.8*101.3</f>
        <v>132.96893787575152</v>
      </c>
      <c r="F154" s="157">
        <f>+F$121*(107.7/103.3)</f>
        <v>103.11258470474348</v>
      </c>
      <c r="G154" s="159">
        <f>+G153</f>
        <v>0.75</v>
      </c>
      <c r="H154" s="66">
        <f t="shared" si="24"/>
        <v>110.05247646741529</v>
      </c>
      <c r="I154" s="199"/>
    </row>
    <row r="155" spans="1:19" ht="15" hidden="1" x14ac:dyDescent="0.2">
      <c r="A155" s="32">
        <f t="shared" si="25"/>
        <v>2017</v>
      </c>
      <c r="B155" s="33" t="s">
        <v>13</v>
      </c>
      <c r="C155" s="157">
        <f>131.4*1.0101</f>
        <v>132.72713999999999</v>
      </c>
      <c r="D155" s="157">
        <v>142.19999999999999</v>
      </c>
      <c r="E155" s="249">
        <f>131/99.8*101.2</f>
        <v>132.8376753507014</v>
      </c>
      <c r="F155" s="157">
        <f>+F$121*(107.9/103.3)</f>
        <v>103.30406582768636</v>
      </c>
      <c r="G155" s="159">
        <v>0.66</v>
      </c>
      <c r="H155" s="66">
        <f t="shared" si="24"/>
        <v>109.86459180314304</v>
      </c>
      <c r="I155" s="199"/>
    </row>
    <row r="156" spans="1:19" ht="15" hidden="1" x14ac:dyDescent="0.2">
      <c r="A156" s="63">
        <f t="shared" si="25"/>
        <v>2017</v>
      </c>
      <c r="B156" s="64" t="s">
        <v>14</v>
      </c>
      <c r="C156" s="160">
        <f>131.4*1.0101</f>
        <v>132.72713999999999</v>
      </c>
      <c r="D156" s="272">
        <v>141</v>
      </c>
      <c r="E156" s="246">
        <f>131/99.8*102</f>
        <v>133.88777555110221</v>
      </c>
      <c r="F156" s="160">
        <f>+F$121*(108.4/103.3)</f>
        <v>103.78276863504357</v>
      </c>
      <c r="G156" s="161">
        <v>0.63</v>
      </c>
      <c r="H156" s="179">
        <f t="shared" si="24"/>
        <v>109.80110300638839</v>
      </c>
      <c r="I156" s="199"/>
    </row>
    <row r="157" spans="1:19" ht="15" hidden="1" x14ac:dyDescent="0.2">
      <c r="A157" s="70">
        <f t="shared" si="25"/>
        <v>2017</v>
      </c>
      <c r="B157" s="185" t="s">
        <v>15</v>
      </c>
      <c r="C157" s="157">
        <f>132.2*1.0101</f>
        <v>133.53521999999998</v>
      </c>
      <c r="D157" s="273">
        <v>142.5</v>
      </c>
      <c r="E157" s="249">
        <f>131/99.8*101.7</f>
        <v>133.49398797595191</v>
      </c>
      <c r="F157" s="157">
        <f>+F$121*(108.3/103.3)</f>
        <v>103.68702807357212</v>
      </c>
      <c r="G157" s="159">
        <v>0.56999999999999995</v>
      </c>
      <c r="H157" s="66">
        <f t="shared" si="24"/>
        <v>110.31450644921124</v>
      </c>
      <c r="I157" s="13"/>
      <c r="J157" s="70"/>
      <c r="K157" s="185"/>
      <c r="L157" s="157"/>
      <c r="M157" s="221"/>
      <c r="N157" s="221"/>
      <c r="O157" s="157"/>
      <c r="P157" s="159"/>
      <c r="Q157" s="66"/>
      <c r="R157" s="13"/>
    </row>
    <row r="158" spans="1:19" ht="15" hidden="1" x14ac:dyDescent="0.2">
      <c r="A158" s="32">
        <f t="shared" si="25"/>
        <v>2017</v>
      </c>
      <c r="B158" s="33" t="s">
        <v>16</v>
      </c>
      <c r="C158" s="157">
        <f>132.2*1.0101</f>
        <v>133.53521999999998</v>
      </c>
      <c r="D158" s="220">
        <v>145.6</v>
      </c>
      <c r="E158" s="249">
        <f>131/99.8*101.8</f>
        <v>133.625250501002</v>
      </c>
      <c r="F158" s="157">
        <f>+F$121*(108.1/103.3)</f>
        <v>103.49554695062925</v>
      </c>
      <c r="G158" s="159">
        <v>0.52</v>
      </c>
      <c r="H158" s="66">
        <f t="shared" si="24"/>
        <v>110.61200477026696</v>
      </c>
      <c r="I158" s="13"/>
    </row>
    <row r="159" spans="1:19" ht="15.75" hidden="1" thickBot="1" x14ac:dyDescent="0.25">
      <c r="A159" s="72">
        <f t="shared" si="25"/>
        <v>2017</v>
      </c>
      <c r="B159" s="73" t="s">
        <v>17</v>
      </c>
      <c r="C159" s="162">
        <f>132.2*1.0101</f>
        <v>133.53521999999998</v>
      </c>
      <c r="D159" s="162">
        <v>146.80000000000001</v>
      </c>
      <c r="E159" s="251">
        <f>131/99.8*101.9</f>
        <v>133.75651302605212</v>
      </c>
      <c r="F159" s="162">
        <f>+F$121*(108.5/103.3)</f>
        <v>103.87850919651501</v>
      </c>
      <c r="G159" s="163">
        <v>0.63</v>
      </c>
      <c r="H159" s="137">
        <f t="shared" si="24"/>
        <v>110.93781445534064</v>
      </c>
      <c r="I159" s="162"/>
      <c r="J159" s="72"/>
      <c r="K159" s="73"/>
      <c r="L159" s="162"/>
      <c r="M159" s="157"/>
      <c r="N159" s="221"/>
      <c r="O159" s="157"/>
      <c r="P159" s="159"/>
      <c r="Q159" s="66"/>
      <c r="R159" s="157"/>
    </row>
    <row r="160" spans="1:19" ht="15" hidden="1" x14ac:dyDescent="0.2">
      <c r="A160" s="74">
        <v>2018</v>
      </c>
      <c r="B160" s="185" t="s">
        <v>7</v>
      </c>
      <c r="C160" s="157">
        <f>132.9*1.0101</f>
        <v>134.24229</v>
      </c>
      <c r="D160" s="332">
        <v>149.9</v>
      </c>
      <c r="E160" s="249">
        <f>131/99.8*101.6</f>
        <v>133.36272545090179</v>
      </c>
      <c r="F160" s="157">
        <f>+F$121*(108.7/103.3)</f>
        <v>104.0699903194579</v>
      </c>
      <c r="G160" s="159">
        <v>0.67</v>
      </c>
      <c r="H160" s="66">
        <f t="shared" ref="H160:H171" si="26">100+((C160-$C$40)/$C$40*100*$C$2)+((D160-$D$40)/$D$40*100*$D$2)+((E160-$E$40)/$E$40*100*$E$2)+((F160-$F$40)/$F$40*100*$F$2)+((G160-$G$40)/$G$40*100*$G$2)</f>
        <v>111.73829561161403</v>
      </c>
      <c r="I160" s="13"/>
    </row>
    <row r="161" spans="1:12" ht="15" hidden="1" x14ac:dyDescent="0.2">
      <c r="A161" s="32">
        <f>A160</f>
        <v>2018</v>
      </c>
      <c r="B161" s="33" t="s">
        <v>8</v>
      </c>
      <c r="C161" s="157">
        <f>132.9*1.0101</f>
        <v>134.24229</v>
      </c>
      <c r="D161" s="332">
        <v>152.1</v>
      </c>
      <c r="E161" s="249">
        <f>131/99.8*101.3</f>
        <v>132.96893787575152</v>
      </c>
      <c r="F161" s="157">
        <f>+F$121*(108.3/103.3)</f>
        <v>103.68702807357212</v>
      </c>
      <c r="G161" s="159">
        <v>0.61</v>
      </c>
      <c r="H161" s="66">
        <f t="shared" si="26"/>
        <v>111.86195735980959</v>
      </c>
      <c r="I161" s="13"/>
    </row>
    <row r="162" spans="1:12" ht="15" hidden="1" x14ac:dyDescent="0.2">
      <c r="A162" s="63">
        <f t="shared" ref="A162:A171" si="27">A161</f>
        <v>2018</v>
      </c>
      <c r="B162" s="64" t="s">
        <v>9</v>
      </c>
      <c r="C162" s="160">
        <f>132.9*1.0101</f>
        <v>134.24229</v>
      </c>
      <c r="D162" s="333">
        <v>148.69999999999999</v>
      </c>
      <c r="E162" s="246">
        <f>131/99.8*101</f>
        <v>132.57515030060122</v>
      </c>
      <c r="F162" s="160">
        <f>+F$121*(108.9/103.3)</f>
        <v>104.26147144240079</v>
      </c>
      <c r="G162" s="161">
        <v>0.81</v>
      </c>
      <c r="H162" s="179">
        <f t="shared" si="26"/>
        <v>111.73473643078437</v>
      </c>
      <c r="J162" s="13"/>
      <c r="K162" s="13"/>
    </row>
    <row r="163" spans="1:12" ht="15" hidden="1" x14ac:dyDescent="0.2">
      <c r="A163" s="70">
        <f t="shared" si="27"/>
        <v>2018</v>
      </c>
      <c r="B163" s="185" t="s">
        <v>10</v>
      </c>
      <c r="C163" s="157">
        <f>133.4*1.0101</f>
        <v>134.74734000000001</v>
      </c>
      <c r="D163" s="332">
        <v>151.30000000000001</v>
      </c>
      <c r="E163" s="249">
        <f>131/99.8*101.7</f>
        <v>133.49398797595191</v>
      </c>
      <c r="F163" s="157">
        <f>+F$121*(109/103.3)</f>
        <v>104.35721200387222</v>
      </c>
      <c r="G163" s="159">
        <v>0.77</v>
      </c>
      <c r="H163" s="66">
        <f t="shared" si="26"/>
        <v>112.34549535688745</v>
      </c>
      <c r="I163" s="13"/>
      <c r="J163" s="70"/>
      <c r="K163" s="185"/>
      <c r="L163" s="157"/>
    </row>
    <row r="164" spans="1:12" ht="15" hidden="1" x14ac:dyDescent="0.2">
      <c r="A164" s="32">
        <f t="shared" si="27"/>
        <v>2018</v>
      </c>
      <c r="B164" s="33" t="s">
        <v>11</v>
      </c>
      <c r="C164" s="157">
        <f>133.4*1.0101</f>
        <v>134.74734000000001</v>
      </c>
      <c r="D164" s="332">
        <v>163.5</v>
      </c>
      <c r="E164" s="249">
        <f>131/99.8*101.7</f>
        <v>133.49398797595191</v>
      </c>
      <c r="F164" s="157">
        <f>+F$121*(109/103.3)</f>
        <v>104.35721200387222</v>
      </c>
      <c r="G164" s="159">
        <v>0.62</v>
      </c>
      <c r="H164" s="66">
        <f t="shared" si="26"/>
        <v>113.60919706398538</v>
      </c>
      <c r="I164" s="13"/>
      <c r="J164" s="32"/>
      <c r="K164" s="33"/>
      <c r="L164" s="157"/>
    </row>
    <row r="165" spans="1:12" ht="15.75" hidden="1" thickBot="1" x14ac:dyDescent="0.25">
      <c r="A165" s="72">
        <f t="shared" si="27"/>
        <v>2018</v>
      </c>
      <c r="B165" s="73" t="s">
        <v>12</v>
      </c>
      <c r="C165" s="162">
        <f>133.4*1.0101</f>
        <v>134.74734000000001</v>
      </c>
      <c r="D165" s="334">
        <v>153.30000000000001</v>
      </c>
      <c r="E165" s="251">
        <f>131/99.8*102.2</f>
        <v>134.15030060120242</v>
      </c>
      <c r="F165" s="162">
        <f>+F$121*(109.1/103.3)</f>
        <v>104.45295256534367</v>
      </c>
      <c r="G165" s="163">
        <v>0.76</v>
      </c>
      <c r="H165" s="137">
        <f t="shared" si="26"/>
        <v>112.62534485819357</v>
      </c>
      <c r="I165" s="222"/>
    </row>
    <row r="166" spans="1:12" ht="15" hidden="1" x14ac:dyDescent="0.2">
      <c r="A166" s="32">
        <f t="shared" si="27"/>
        <v>2018</v>
      </c>
      <c r="B166" s="33" t="s">
        <v>30</v>
      </c>
      <c r="C166" s="157">
        <f>134*1.0101</f>
        <v>135.35339999999999</v>
      </c>
      <c r="D166" s="332">
        <v>157.4</v>
      </c>
      <c r="E166" s="249">
        <f>131/99.8*102.4</f>
        <v>134.41282565130263</v>
      </c>
      <c r="F166" s="157">
        <f>+F$121*(109.2/103.3)</f>
        <v>104.54869312681511</v>
      </c>
      <c r="G166" s="159">
        <v>0.6</v>
      </c>
      <c r="H166" s="66">
        <f t="shared" si="26"/>
        <v>113.27407956334169</v>
      </c>
      <c r="I166" s="199"/>
    </row>
    <row r="167" spans="1:12" ht="15" hidden="1" x14ac:dyDescent="0.2">
      <c r="A167" s="32">
        <f t="shared" si="27"/>
        <v>2018</v>
      </c>
      <c r="B167" s="33" t="s">
        <v>13</v>
      </c>
      <c r="C167" s="157">
        <f>134*1.0101</f>
        <v>135.35339999999999</v>
      </c>
      <c r="D167" s="332">
        <v>158.4</v>
      </c>
      <c r="E167" s="249">
        <f>131/99.8*102.3</f>
        <v>134.28156312625251</v>
      </c>
      <c r="F167" s="157">
        <f>+F$121*(108.2/103.3)</f>
        <v>103.59128751210068</v>
      </c>
      <c r="G167" s="159">
        <v>0.53</v>
      </c>
      <c r="H167" s="66">
        <f t="shared" si="26"/>
        <v>113.20724512700838</v>
      </c>
      <c r="I167" s="199"/>
    </row>
    <row r="168" spans="1:12" ht="15" hidden="1" x14ac:dyDescent="0.2">
      <c r="A168" s="63">
        <f t="shared" si="27"/>
        <v>2018</v>
      </c>
      <c r="B168" s="64" t="s">
        <v>14</v>
      </c>
      <c r="C168" s="160">
        <f>134*1.0101</f>
        <v>135.35339999999999</v>
      </c>
      <c r="D168" s="333">
        <v>158.4</v>
      </c>
      <c r="E168" s="246">
        <f>131/99.8*103.1</f>
        <v>135.33166332665331</v>
      </c>
      <c r="F168" s="160">
        <f>+F$121*(108.8/103.3)</f>
        <v>104.16573088092933</v>
      </c>
      <c r="G168" s="161">
        <v>0.63</v>
      </c>
      <c r="H168" s="179">
        <f t="shared" si="26"/>
        <v>113.45900948211838</v>
      </c>
      <c r="J168" s="13"/>
      <c r="K168" s="13"/>
    </row>
    <row r="169" spans="1:12" ht="15" hidden="1" x14ac:dyDescent="0.2">
      <c r="A169" s="70">
        <f t="shared" si="27"/>
        <v>2018</v>
      </c>
      <c r="B169" s="185" t="s">
        <v>15</v>
      </c>
      <c r="C169" s="157">
        <f>135.2*1.0101</f>
        <v>136.56551999999999</v>
      </c>
      <c r="D169" s="332">
        <v>163</v>
      </c>
      <c r="E169" s="249">
        <f>131/99.8*102.7</f>
        <v>134.80661322645292</v>
      </c>
      <c r="F169" s="157">
        <f>+F$121*(108.7/103.3)</f>
        <v>104.0699903194579</v>
      </c>
      <c r="G169" s="159">
        <v>0.69</v>
      </c>
      <c r="H169" s="66">
        <f t="shared" si="26"/>
        <v>114.7065386829254</v>
      </c>
      <c r="I169" s="13"/>
      <c r="J169" s="70"/>
      <c r="K169" s="185"/>
      <c r="L169" s="157"/>
    </row>
    <row r="170" spans="1:12" ht="15" hidden="1" x14ac:dyDescent="0.2">
      <c r="A170" s="32">
        <f t="shared" si="27"/>
        <v>2018</v>
      </c>
      <c r="B170" s="33" t="s">
        <v>16</v>
      </c>
      <c r="C170" s="157">
        <f>135.2*1.0101</f>
        <v>136.56551999999999</v>
      </c>
      <c r="D170" s="332">
        <v>171.3</v>
      </c>
      <c r="E170" s="249">
        <f>131/99.8*102.4</f>
        <v>134.41282565130263</v>
      </c>
      <c r="F170" s="157">
        <f>+F$121*(109.4/103.3)</f>
        <v>104.74017424975801</v>
      </c>
      <c r="G170" s="159">
        <v>0.57999999999999996</v>
      </c>
      <c r="H170" s="66">
        <f t="shared" si="26"/>
        <v>115.59111178626796</v>
      </c>
      <c r="J170" s="13"/>
      <c r="K170" s="13"/>
    </row>
    <row r="171" spans="1:12" ht="15.75" hidden="1" thickBot="1" x14ac:dyDescent="0.25">
      <c r="A171" s="72">
        <f t="shared" si="27"/>
        <v>2018</v>
      </c>
      <c r="B171" s="73" t="s">
        <v>17</v>
      </c>
      <c r="C171" s="162">
        <f>135.2*1.0101</f>
        <v>136.56551999999999</v>
      </c>
      <c r="D171" s="334">
        <v>166.9</v>
      </c>
      <c r="E171" s="251">
        <f>131/99.8*102.7</f>
        <v>134.80661322645292</v>
      </c>
      <c r="F171" s="162">
        <f>+F$121*(109.9/103.3)</f>
        <v>105.21887705711521</v>
      </c>
      <c r="G171" s="163">
        <v>0.62</v>
      </c>
      <c r="H171" s="137">
        <f t="shared" si="26"/>
        <v>115.18926203989211</v>
      </c>
      <c r="I171" s="162"/>
      <c r="J171" s="72"/>
      <c r="K171" s="73"/>
      <c r="L171" s="162"/>
    </row>
    <row r="172" spans="1:12" ht="15" hidden="1" x14ac:dyDescent="0.2">
      <c r="A172" s="74">
        <v>2019</v>
      </c>
      <c r="B172" s="185" t="s">
        <v>7</v>
      </c>
      <c r="C172" s="157">
        <f>135.8*1.0101</f>
        <v>137.17158000000001</v>
      </c>
      <c r="D172" s="332">
        <v>166.2</v>
      </c>
      <c r="E172" s="249">
        <f>131/99.8*102.4</f>
        <v>134.41282565130263</v>
      </c>
      <c r="F172" s="157">
        <f>+F$121*(109.9/103.3)</f>
        <v>105.21887705711521</v>
      </c>
      <c r="G172" s="159">
        <v>0.63</v>
      </c>
      <c r="H172" s="66">
        <f t="shared" ref="H172:H183" si="28">100+((C172-$C$40)/$C$40*100*$C$2)+((D172-$D$40)/$D$40*100*$D$2)+((E172-$E$40)/$E$40*100*$E$2)+((F172-$F$40)/$F$40*100*$F$2)+((G172-$G$40)/$G$40*100*$G$2)</f>
        <v>115.42607177203597</v>
      </c>
      <c r="I172" s="13"/>
    </row>
    <row r="173" spans="1:12" ht="15" hidden="1" x14ac:dyDescent="0.2">
      <c r="A173" s="32">
        <f>A172</f>
        <v>2019</v>
      </c>
      <c r="B173" s="33" t="s">
        <v>8</v>
      </c>
      <c r="C173" s="157">
        <f>135.8*1.0101</f>
        <v>137.17158000000001</v>
      </c>
      <c r="D173" s="332">
        <v>164</v>
      </c>
      <c r="E173" s="249">
        <f>131/99.8*102.1</f>
        <v>134.0190380761523</v>
      </c>
      <c r="F173" s="157">
        <f>+F$121*(109.7/103.3)</f>
        <v>105.02739593417233</v>
      </c>
      <c r="G173" s="159">
        <f>+G172</f>
        <v>0.63</v>
      </c>
      <c r="H173" s="66">
        <f t="shared" si="28"/>
        <v>115.11914368739293</v>
      </c>
    </row>
    <row r="174" spans="1:12" ht="15" hidden="1" x14ac:dyDescent="0.2">
      <c r="A174" s="63">
        <f t="shared" ref="A174:A183" si="29">A173</f>
        <v>2019</v>
      </c>
      <c r="B174" s="64" t="s">
        <v>9</v>
      </c>
      <c r="C174" s="160">
        <f>135.8*1.0101</f>
        <v>137.17158000000001</v>
      </c>
      <c r="D174" s="333">
        <v>156.5</v>
      </c>
      <c r="E174" s="246">
        <f>131/99.8*102.3</f>
        <v>134.28156312625251</v>
      </c>
      <c r="F174" s="346">
        <f>+F$173*(103.3/103.6)</f>
        <v>104.72326254826257</v>
      </c>
      <c r="G174" s="159">
        <v>0.68</v>
      </c>
      <c r="H174" s="179">
        <f t="shared" si="28"/>
        <v>114.27917367931168</v>
      </c>
      <c r="J174" s="13"/>
      <c r="K174" s="13"/>
    </row>
    <row r="175" spans="1:12" ht="15" hidden="1" x14ac:dyDescent="0.2">
      <c r="A175" s="70">
        <f t="shared" si="29"/>
        <v>2019</v>
      </c>
      <c r="B175" s="185" t="s">
        <v>10</v>
      </c>
      <c r="C175" s="157">
        <f>136.4*1.0101</f>
        <v>137.77764000000002</v>
      </c>
      <c r="D175" s="332">
        <v>148</v>
      </c>
      <c r="E175" s="249">
        <f>131/99.8*102.8</f>
        <v>134.93787575150301</v>
      </c>
      <c r="F175" s="347">
        <f>+F$173*(103.6/103.6)</f>
        <v>105.02739593417233</v>
      </c>
      <c r="G175" s="158">
        <v>0.55000000000000004</v>
      </c>
      <c r="H175" s="66">
        <f t="shared" si="28"/>
        <v>113.51223506720689</v>
      </c>
    </row>
    <row r="176" spans="1:12" ht="15" hidden="1" x14ac:dyDescent="0.2">
      <c r="A176" s="32">
        <f t="shared" si="29"/>
        <v>2019</v>
      </c>
      <c r="B176" s="33" t="s">
        <v>11</v>
      </c>
      <c r="C176" s="157">
        <f>136.4*1.0101</f>
        <v>137.77764000000002</v>
      </c>
      <c r="D176" s="332">
        <v>142.80000000000001</v>
      </c>
      <c r="E176" s="249">
        <f>131/99.8*102.9</f>
        <v>135.06913827655313</v>
      </c>
      <c r="F176" s="346">
        <f>+F$173*(103.7/103.6)</f>
        <v>105.12877372947561</v>
      </c>
      <c r="G176" s="159">
        <v>0.55000000000000004</v>
      </c>
      <c r="H176" s="66">
        <f t="shared" si="28"/>
        <v>112.91167572486573</v>
      </c>
    </row>
    <row r="177" spans="1:20" ht="15" hidden="1" x14ac:dyDescent="0.2">
      <c r="A177" s="63">
        <f t="shared" si="29"/>
        <v>2019</v>
      </c>
      <c r="B177" s="64" t="s">
        <v>12</v>
      </c>
      <c r="C177" s="160">
        <f>136.4*1.0101</f>
        <v>137.77764000000002</v>
      </c>
      <c r="D177" s="333">
        <v>140.69999999999999</v>
      </c>
      <c r="E177" s="246">
        <f>131/99.8*103.2</f>
        <v>135.46292585170343</v>
      </c>
      <c r="F177" s="348">
        <f>+F$173*(104.5/103.6)</f>
        <v>105.93979609190164</v>
      </c>
      <c r="G177" s="161">
        <v>0.59</v>
      </c>
      <c r="H177" s="179">
        <f t="shared" si="28"/>
        <v>112.81443752079188</v>
      </c>
      <c r="J177" s="13"/>
      <c r="K177" s="13"/>
    </row>
    <row r="178" spans="1:20" ht="15" hidden="1" x14ac:dyDescent="0.2">
      <c r="A178" s="32">
        <f t="shared" si="29"/>
        <v>2019</v>
      </c>
      <c r="B178" s="33" t="s">
        <v>30</v>
      </c>
      <c r="C178" s="157">
        <f>136.6*1.0101</f>
        <v>137.97966</v>
      </c>
      <c r="D178" s="332">
        <v>136.80000000000001</v>
      </c>
      <c r="E178" s="249">
        <f>131/99.8*103.1</f>
        <v>135.33166332665331</v>
      </c>
      <c r="F178" s="346">
        <f>+F$173*(104.6/103.6)</f>
        <v>106.04117388720489</v>
      </c>
      <c r="G178" s="159">
        <v>0.56999999999999995</v>
      </c>
      <c r="H178" s="66">
        <f t="shared" si="28"/>
        <v>112.43691255692302</v>
      </c>
    </row>
    <row r="179" spans="1:20" ht="15" hidden="1" x14ac:dyDescent="0.2">
      <c r="A179" s="32">
        <f t="shared" si="29"/>
        <v>2019</v>
      </c>
      <c r="B179" s="33" t="s">
        <v>13</v>
      </c>
      <c r="C179" s="157">
        <f>136.6*1.0101</f>
        <v>137.97966</v>
      </c>
      <c r="D179" s="332">
        <v>128.5</v>
      </c>
      <c r="E179" s="249">
        <f>131/99.8*102.9</f>
        <v>135.06913827655313</v>
      </c>
      <c r="F179" s="346">
        <f>+F$173*(105/103.6)</f>
        <v>106.44668506841791</v>
      </c>
      <c r="G179" s="159">
        <v>0.39</v>
      </c>
      <c r="H179" s="66">
        <f t="shared" si="28"/>
        <v>111.24180467155286</v>
      </c>
    </row>
    <row r="180" spans="1:20" ht="15" hidden="1" x14ac:dyDescent="0.2">
      <c r="A180" s="63">
        <f t="shared" si="29"/>
        <v>2019</v>
      </c>
      <c r="B180" s="64" t="s">
        <v>14</v>
      </c>
      <c r="C180" s="160">
        <f>136.6*1.0101</f>
        <v>137.97966</v>
      </c>
      <c r="D180" s="333">
        <v>127.3</v>
      </c>
      <c r="E180" s="246">
        <f>131/99.8*103.5</f>
        <v>135.85671342685373</v>
      </c>
      <c r="F180" s="348">
        <f>+F$173*(104.4/103.6)</f>
        <v>105.83841829659839</v>
      </c>
      <c r="G180" s="161">
        <v>0.3</v>
      </c>
      <c r="H180" s="179">
        <f t="shared" si="28"/>
        <v>110.98391164080937</v>
      </c>
    </row>
    <row r="181" spans="1:20" ht="15" hidden="1" x14ac:dyDescent="0.2">
      <c r="A181" s="70">
        <f t="shared" si="29"/>
        <v>2019</v>
      </c>
      <c r="B181" s="185" t="s">
        <v>15</v>
      </c>
      <c r="C181" s="157">
        <f>137.8*1.0101</f>
        <v>139.19178000000002</v>
      </c>
      <c r="D181" s="332">
        <v>126.8</v>
      </c>
      <c r="E181" s="249">
        <f>131/99.8*103.1</f>
        <v>135.33166332665331</v>
      </c>
      <c r="F181" s="346">
        <f>+F$173*(104.1/103.6)</f>
        <v>105.5342849106886</v>
      </c>
      <c r="G181" s="159">
        <v>0.21</v>
      </c>
      <c r="H181" s="66">
        <f t="shared" si="28"/>
        <v>111.41630323538062</v>
      </c>
    </row>
    <row r="182" spans="1:20" ht="15" hidden="1" x14ac:dyDescent="0.2">
      <c r="A182" s="32">
        <f t="shared" si="29"/>
        <v>2019</v>
      </c>
      <c r="B182" s="33" t="s">
        <v>16</v>
      </c>
      <c r="C182" s="157">
        <f>137.8*1.0101</f>
        <v>139.19178000000002</v>
      </c>
      <c r="D182" s="332">
        <v>127.8</v>
      </c>
      <c r="E182" s="249">
        <f>131/99.8*102.9</f>
        <v>135.06913827655313</v>
      </c>
      <c r="F182" s="346">
        <f>+F$173*(103.9/103.6)</f>
        <v>105.3315293200821</v>
      </c>
      <c r="G182" s="159">
        <v>0.26</v>
      </c>
      <c r="H182" s="66">
        <f t="shared" si="28"/>
        <v>111.56126738277636</v>
      </c>
      <c r="J182" s="13"/>
      <c r="K182" s="13"/>
    </row>
    <row r="183" spans="1:20" ht="15.75" hidden="1" thickBot="1" x14ac:dyDescent="0.25">
      <c r="A183" s="72">
        <f t="shared" si="29"/>
        <v>2019</v>
      </c>
      <c r="B183" s="73" t="s">
        <v>17</v>
      </c>
      <c r="C183" s="162">
        <f>137.8*1.0101</f>
        <v>139.19178000000002</v>
      </c>
      <c r="D183" s="334">
        <v>130.69999999999999</v>
      </c>
      <c r="E183" s="251">
        <f>131/99.8*103.3</f>
        <v>135.59418837675352</v>
      </c>
      <c r="F183" s="356">
        <f>+F$173*(103.7/103.6)</f>
        <v>105.12877372947561</v>
      </c>
      <c r="G183" s="163">
        <v>0.34</v>
      </c>
      <c r="H183" s="137">
        <f t="shared" si="28"/>
        <v>112.02470851518025</v>
      </c>
    </row>
    <row r="184" spans="1:20" ht="15" hidden="1" x14ac:dyDescent="0.2">
      <c r="A184" s="74">
        <v>2020</v>
      </c>
      <c r="B184" s="185" t="s">
        <v>7</v>
      </c>
      <c r="C184" s="157">
        <f>138.6*1.0101</f>
        <v>139.99985999999998</v>
      </c>
      <c r="D184" s="332">
        <v>141.5</v>
      </c>
      <c r="E184" s="249">
        <f>131/99.8*103.1</f>
        <v>135.33166332665331</v>
      </c>
      <c r="F184" s="346">
        <f>+F$173*(103.9/103.6)</f>
        <v>105.3315293200821</v>
      </c>
      <c r="G184" s="159">
        <v>0.23</v>
      </c>
      <c r="H184" s="66">
        <f t="shared" ref="H184:H195" si="30">100+((C184-$C$40)/$C$40*100*$C$2)+((D184-$D$40)/$D$40*100*$D$2)+((E184-$E$40)/$E$40*100*$E$2)+((F184-$F$40)/$F$40*100*$F$2)+((G184-$G$40)/$G$40*100*$G$2)</f>
        <v>113.61912050659984</v>
      </c>
      <c r="I184" s="13"/>
    </row>
    <row r="185" spans="1:20" ht="15" hidden="1" x14ac:dyDescent="0.2">
      <c r="A185" s="32">
        <f>A184</f>
        <v>2020</v>
      </c>
      <c r="B185" s="33" t="s">
        <v>8</v>
      </c>
      <c r="C185" s="157">
        <f>138.6*1.0101</f>
        <v>139.99985999999998</v>
      </c>
      <c r="D185" s="332">
        <v>137.6</v>
      </c>
      <c r="E185" s="249">
        <f>131/99.8*102.9</f>
        <v>135.06913827655313</v>
      </c>
      <c r="F185" s="346">
        <f>+F$173*(104/103.6)</f>
        <v>105.43290711538535</v>
      </c>
      <c r="G185" s="159">
        <v>0.36</v>
      </c>
      <c r="H185" s="66">
        <f t="shared" si="30"/>
        <v>113.30956975171864</v>
      </c>
    </row>
    <row r="186" spans="1:20" ht="15" hidden="1" x14ac:dyDescent="0.2">
      <c r="A186" s="63">
        <f t="shared" ref="A186:A195" si="31">A185</f>
        <v>2020</v>
      </c>
      <c r="B186" s="64" t="s">
        <v>9</v>
      </c>
      <c r="C186" s="160">
        <f>138.6*1.0101</f>
        <v>139.99985999999998</v>
      </c>
      <c r="D186" s="333">
        <v>132.9</v>
      </c>
      <c r="E186" s="246">
        <f>131/99.8*103</f>
        <v>135.20040080160322</v>
      </c>
      <c r="F186" s="348">
        <f>+F$173*(104.9/103.6)</f>
        <v>106.34530727311467</v>
      </c>
      <c r="G186" s="159">
        <v>0.28999999999999998</v>
      </c>
      <c r="H186" s="179">
        <f t="shared" si="30"/>
        <v>112.75565590507269</v>
      </c>
    </row>
    <row r="187" spans="1:20" ht="15" hidden="1" x14ac:dyDescent="0.2">
      <c r="A187" s="70">
        <f t="shared" si="31"/>
        <v>2020</v>
      </c>
      <c r="B187" s="185" t="s">
        <v>10</v>
      </c>
      <c r="C187" s="157">
        <f>139.2*1.0101</f>
        <v>140.60592</v>
      </c>
      <c r="D187" s="332">
        <v>129.30000000000001</v>
      </c>
      <c r="E187" s="249">
        <f>131/99.8*103.6</f>
        <v>135.98797595190382</v>
      </c>
      <c r="F187" s="347">
        <f>+F$173*(105/103.6)</f>
        <v>106.44668506841791</v>
      </c>
      <c r="G187" s="158">
        <v>0.1</v>
      </c>
      <c r="H187" s="66">
        <f t="shared" si="30"/>
        <v>112.48687770465564</v>
      </c>
    </row>
    <row r="188" spans="1:20" ht="15" hidden="1" x14ac:dyDescent="0.2">
      <c r="A188" s="32">
        <f t="shared" si="31"/>
        <v>2020</v>
      </c>
      <c r="B188" s="33" t="s">
        <v>11</v>
      </c>
      <c r="C188" s="157">
        <f>139.2*1.0101</f>
        <v>140.60592</v>
      </c>
      <c r="D188" s="332">
        <v>127.1</v>
      </c>
      <c r="E188" s="249">
        <f>131/99.8*103.3</f>
        <v>135.59418837675352</v>
      </c>
      <c r="F188" s="346">
        <f>+F$173*(105.2/103.6)</f>
        <v>106.64944065902444</v>
      </c>
      <c r="G188" s="159">
        <v>0.45</v>
      </c>
      <c r="H188" s="66">
        <f t="shared" si="30"/>
        <v>112.65674218535659</v>
      </c>
    </row>
    <row r="189" spans="1:20" ht="15" hidden="1" x14ac:dyDescent="0.2">
      <c r="A189" s="63">
        <f t="shared" si="31"/>
        <v>2020</v>
      </c>
      <c r="B189" s="64" t="s">
        <v>12</v>
      </c>
      <c r="C189" s="160">
        <f>139.2*1.0101</f>
        <v>140.60592</v>
      </c>
      <c r="D189" s="333">
        <v>122.7</v>
      </c>
      <c r="E189" s="246">
        <f>131/99.8*103.2</f>
        <v>135.46292585170343</v>
      </c>
      <c r="F189" s="348">
        <f>+F$173*(105.2/103.6)</f>
        <v>106.64944065902444</v>
      </c>
      <c r="G189" s="161">
        <v>0.35</v>
      </c>
      <c r="H189" s="179">
        <f t="shared" si="30"/>
        <v>111.99805472139822</v>
      </c>
    </row>
    <row r="190" spans="1:20" ht="15" hidden="1" x14ac:dyDescent="0.2">
      <c r="A190" s="32">
        <f t="shared" si="31"/>
        <v>2020</v>
      </c>
      <c r="B190" s="33" t="s">
        <v>30</v>
      </c>
      <c r="C190" s="157">
        <f>139.8*1.0101</f>
        <v>141.21198000000001</v>
      </c>
      <c r="D190" s="332">
        <v>118.8</v>
      </c>
      <c r="E190" s="249">
        <f>131/99.8*103.1</f>
        <v>135.33166332665331</v>
      </c>
      <c r="F190" s="346">
        <f>+F$173*(105.3/103.6)</f>
        <v>106.75081845432769</v>
      </c>
      <c r="G190" s="159">
        <v>0.23</v>
      </c>
      <c r="H190" s="66">
        <f t="shared" si="30"/>
        <v>111.71797011334438</v>
      </c>
      <c r="T190" s="225"/>
    </row>
    <row r="191" spans="1:20" ht="15" hidden="1" x14ac:dyDescent="0.2">
      <c r="A191" s="32">
        <f t="shared" si="31"/>
        <v>2020</v>
      </c>
      <c r="B191" s="33" t="s">
        <v>13</v>
      </c>
      <c r="C191" s="157">
        <f>139.8*1.0101</f>
        <v>141.21198000000001</v>
      </c>
      <c r="D191" s="332">
        <v>119.1</v>
      </c>
      <c r="E191" s="249">
        <f>131/99.8*103.2</f>
        <v>135.46292585170343</v>
      </c>
      <c r="F191" s="346">
        <f>+F$173*(105.5/103.6)</f>
        <v>106.95357404493419</v>
      </c>
      <c r="G191" s="159">
        <v>0.22</v>
      </c>
      <c r="H191" s="66">
        <f t="shared" si="30"/>
        <v>111.76899055949252</v>
      </c>
    </row>
    <row r="192" spans="1:20" ht="15" hidden="1" x14ac:dyDescent="0.2">
      <c r="A192" s="63">
        <f t="shared" si="31"/>
        <v>2020</v>
      </c>
      <c r="B192" s="64" t="s">
        <v>14</v>
      </c>
      <c r="C192" s="160">
        <f>139.8*1.0101</f>
        <v>141.21198000000001</v>
      </c>
      <c r="D192" s="333">
        <v>119.8</v>
      </c>
      <c r="E192" s="246">
        <f>131/99.8*104</f>
        <v>136.51302605210421</v>
      </c>
      <c r="F192" s="348">
        <f>+F$173*(105.7/103.6)</f>
        <v>107.1563296355407</v>
      </c>
      <c r="G192" s="161">
        <v>0.17</v>
      </c>
      <c r="H192" s="179">
        <f t="shared" si="30"/>
        <v>111.88095802423881</v>
      </c>
    </row>
    <row r="193" spans="1:19" ht="15" hidden="1" x14ac:dyDescent="0.2">
      <c r="A193" s="32">
        <f t="shared" si="31"/>
        <v>2020</v>
      </c>
      <c r="B193" s="33" t="s">
        <v>15</v>
      </c>
      <c r="C193" s="157">
        <f>140.2*1.0101</f>
        <v>141.61601999999999</v>
      </c>
      <c r="D193" s="332">
        <v>123</v>
      </c>
      <c r="E193" s="249">
        <f>131/99.8*103.6</f>
        <v>135.98797595190382</v>
      </c>
      <c r="F193" s="346">
        <f>+F$173*(106/103.6)</f>
        <v>107.46046302145045</v>
      </c>
      <c r="G193" s="159">
        <v>0.22</v>
      </c>
      <c r="H193" s="66">
        <f t="shared" si="30"/>
        <v>112.53985240002062</v>
      </c>
    </row>
    <row r="194" spans="1:19" ht="15" hidden="1" x14ac:dyDescent="0.2">
      <c r="A194" s="32">
        <f t="shared" si="31"/>
        <v>2020</v>
      </c>
      <c r="B194" s="33" t="s">
        <v>16</v>
      </c>
      <c r="C194" s="157">
        <f>140.2*1.0101</f>
        <v>141.61601999999999</v>
      </c>
      <c r="D194" s="332">
        <v>131.19999999999999</v>
      </c>
      <c r="E194" s="249">
        <f>131/99.8*103.5</f>
        <v>135.85671342685373</v>
      </c>
      <c r="F194" s="346">
        <f>+F$173*(105.9/103.6)</f>
        <v>107.3590852261472</v>
      </c>
      <c r="G194" s="159">
        <v>0.15</v>
      </c>
      <c r="H194" s="66">
        <f t="shared" si="30"/>
        <v>113.40950428503925</v>
      </c>
      <c r="J194" s="13"/>
      <c r="K194" s="13"/>
    </row>
    <row r="195" spans="1:19" ht="15.75" hidden="1" thickBot="1" x14ac:dyDescent="0.25">
      <c r="A195" s="72">
        <f t="shared" si="31"/>
        <v>2020</v>
      </c>
      <c r="B195" s="73" t="s">
        <v>17</v>
      </c>
      <c r="C195" s="162">
        <f>140.2*1.0101</f>
        <v>141.61601999999999</v>
      </c>
      <c r="D195" s="334">
        <v>137.6</v>
      </c>
      <c r="E195" s="251">
        <f>131/99.8*103.7</f>
        <v>136.11923847695391</v>
      </c>
      <c r="F195" s="356">
        <f>+F$173*(105.7/103.6)</f>
        <v>107.1563296355407</v>
      </c>
      <c r="G195" s="163">
        <v>0.08</v>
      </c>
      <c r="H195" s="137">
        <f t="shared" si="30"/>
        <v>114.08274928557307</v>
      </c>
      <c r="I195" s="39"/>
      <c r="J195" s="39"/>
      <c r="K195" s="39"/>
      <c r="L195" s="39"/>
    </row>
    <row r="196" spans="1:19" ht="15" hidden="1" x14ac:dyDescent="0.2">
      <c r="A196" s="74">
        <v>2021</v>
      </c>
      <c r="B196" s="185" t="s">
        <v>7</v>
      </c>
      <c r="C196" s="157">
        <f>141*1.0101</f>
        <v>142.42410000000001</v>
      </c>
      <c r="D196" s="332">
        <v>138.1</v>
      </c>
      <c r="E196" s="249">
        <f>131/99.8*103.6</f>
        <v>135.98797595190382</v>
      </c>
      <c r="F196" s="346">
        <f>+F$173*(106.1/103.6)</f>
        <v>107.5618408167537</v>
      </c>
      <c r="G196" s="159">
        <v>0.15</v>
      </c>
      <c r="H196" s="66">
        <f t="shared" ref="H196:H207" si="32">100+((C196-$C$40)/$C$40*100*$C$2)+((D196-$D$40)/$D$40*100*$D$2)+((E196-$E$40)/$E$40*100*$E$2)+((F196-$F$40)/$F$40*100*$F$2)+((G196-$G$40)/$G$40*100*$G$2)</f>
        <v>114.70527067192792</v>
      </c>
    </row>
    <row r="197" spans="1:19" ht="15" hidden="1" x14ac:dyDescent="0.2">
      <c r="A197" s="32">
        <f>A196</f>
        <v>2021</v>
      </c>
      <c r="B197" s="33" t="s">
        <v>8</v>
      </c>
      <c r="C197" s="157">
        <f>141*1.0101</f>
        <v>142.42410000000001</v>
      </c>
      <c r="D197" s="332">
        <v>143.4</v>
      </c>
      <c r="E197" s="249">
        <f>131/99.8*103.4</f>
        <v>135.72545090180361</v>
      </c>
      <c r="F197" s="346">
        <f>+F$173*(105.8/103.6)</f>
        <v>107.25770743084395</v>
      </c>
      <c r="G197" s="159">
        <v>-0.01</v>
      </c>
      <c r="H197" s="66">
        <f t="shared" si="32"/>
        <v>115.08859213775257</v>
      </c>
    </row>
    <row r="198" spans="1:19" ht="15" hidden="1" x14ac:dyDescent="0.2">
      <c r="A198" s="63">
        <f t="shared" ref="A198:A207" si="33">A197</f>
        <v>2021</v>
      </c>
      <c r="B198" s="64" t="s">
        <v>9</v>
      </c>
      <c r="C198" s="160">
        <f>141*1.0101</f>
        <v>142.42410000000001</v>
      </c>
      <c r="D198" s="333">
        <v>150.5</v>
      </c>
      <c r="E198" s="246">
        <f>131/99.8*103.6</f>
        <v>135.98797595190382</v>
      </c>
      <c r="F198" s="348">
        <f>+F$173*(106.9/103.6)</f>
        <v>108.37286317917976</v>
      </c>
      <c r="G198" s="159">
        <v>0.14000000000000001</v>
      </c>
      <c r="H198" s="179">
        <f t="shared" si="32"/>
        <v>116.244054532403</v>
      </c>
    </row>
    <row r="199" spans="1:19" ht="15" hidden="1" x14ac:dyDescent="0.2">
      <c r="A199" s="70">
        <f t="shared" si="33"/>
        <v>2021</v>
      </c>
      <c r="B199" s="185" t="s">
        <v>10</v>
      </c>
      <c r="C199" s="157">
        <f>141.6*1.0101</f>
        <v>143.03016</v>
      </c>
      <c r="D199" s="332">
        <v>147.80000000000001</v>
      </c>
      <c r="E199" s="249">
        <f>131/99.8*104.2</f>
        <v>136.77555110220442</v>
      </c>
      <c r="F199" s="347">
        <f>+F$173*(107.1/103.6)</f>
        <v>108.57561876978626</v>
      </c>
      <c r="G199" s="158">
        <v>0.33</v>
      </c>
      <c r="H199" s="66">
        <f t="shared" si="32"/>
        <v>116.56980311059205</v>
      </c>
    </row>
    <row r="200" spans="1:19" ht="15" hidden="1" x14ac:dyDescent="0.2">
      <c r="A200" s="32">
        <f t="shared" si="33"/>
        <v>2021</v>
      </c>
      <c r="B200" s="33" t="s">
        <v>11</v>
      </c>
      <c r="C200" s="157">
        <f>141.6*1.0101</f>
        <v>143.03016</v>
      </c>
      <c r="D200" s="332">
        <v>147.1</v>
      </c>
      <c r="E200" s="249">
        <f>131/99.8*104.3</f>
        <v>136.90681362725451</v>
      </c>
      <c r="F200" s="346">
        <f>+F$173*(107.7/103.6)</f>
        <v>109.1838855416058</v>
      </c>
      <c r="G200" s="159">
        <v>0.44</v>
      </c>
      <c r="H200" s="66">
        <f t="shared" si="32"/>
        <v>116.69030533423738</v>
      </c>
    </row>
    <row r="201" spans="1:19" ht="15" hidden="1" x14ac:dyDescent="0.2">
      <c r="A201" s="63">
        <f t="shared" si="33"/>
        <v>2021</v>
      </c>
      <c r="B201" s="64" t="s">
        <v>12</v>
      </c>
      <c r="C201" s="160">
        <f>141.6*1.0101</f>
        <v>143.03016</v>
      </c>
      <c r="D201" s="333">
        <v>153.1</v>
      </c>
      <c r="E201" s="246">
        <f>131/99.8*104.7</f>
        <v>137.43186372745492</v>
      </c>
      <c r="F201" s="348">
        <f>+F$173*(108/103.6)</f>
        <v>109.48801892751557</v>
      </c>
      <c r="G201" s="161">
        <v>0.39</v>
      </c>
      <c r="H201" s="179">
        <f t="shared" si="32"/>
        <v>117.40625457350826</v>
      </c>
    </row>
    <row r="202" spans="1:19" ht="15" hidden="1" x14ac:dyDescent="0.2">
      <c r="A202" s="32">
        <f t="shared" si="33"/>
        <v>2021</v>
      </c>
      <c r="B202" s="33" t="s">
        <v>30</v>
      </c>
      <c r="C202" s="157">
        <f>142.6*1.0101</f>
        <v>144.04025999999999</v>
      </c>
      <c r="D202" s="332">
        <v>162.9</v>
      </c>
      <c r="E202" s="249">
        <f>131/99.8*104.9</f>
        <v>137.69438877755513</v>
      </c>
      <c r="F202" s="346">
        <f>+F$173*(108.2/103.6)</f>
        <v>109.69077451812207</v>
      </c>
      <c r="G202" s="159">
        <v>0.48</v>
      </c>
      <c r="H202" s="66">
        <f t="shared" si="32"/>
        <v>119.28117163910019</v>
      </c>
    </row>
    <row r="203" spans="1:19" ht="15" hidden="1" x14ac:dyDescent="0.2">
      <c r="A203" s="32">
        <f t="shared" si="33"/>
        <v>2021</v>
      </c>
      <c r="B203" s="33" t="s">
        <v>13</v>
      </c>
      <c r="C203" s="157">
        <f>142.6*1.0101</f>
        <v>144.04025999999999</v>
      </c>
      <c r="D203" s="332">
        <v>171.4</v>
      </c>
      <c r="E203" s="249">
        <f>131/99.8*105</f>
        <v>137.82565130260522</v>
      </c>
      <c r="F203" s="346">
        <f>+F$173*(108.4/103.6)</f>
        <v>109.8935301087286</v>
      </c>
      <c r="G203" s="159">
        <v>0.42</v>
      </c>
      <c r="H203" s="66">
        <f t="shared" si="32"/>
        <v>120.24548947967779</v>
      </c>
    </row>
    <row r="204" spans="1:19" ht="15" hidden="1" x14ac:dyDescent="0.2">
      <c r="A204" s="63">
        <f t="shared" si="33"/>
        <v>2021</v>
      </c>
      <c r="B204" s="64" t="s">
        <v>14</v>
      </c>
      <c r="C204" s="160">
        <f>142.6*1.0101</f>
        <v>144.04025999999999</v>
      </c>
      <c r="D204" s="333">
        <v>186.5</v>
      </c>
      <c r="E204" s="246">
        <f>131/99.8*105.7</f>
        <v>138.74448897795594</v>
      </c>
      <c r="F204" s="348">
        <f>+F$173*(108.5/103.6)</f>
        <v>109.99490790403185</v>
      </c>
      <c r="G204" s="161">
        <v>0.37</v>
      </c>
      <c r="H204" s="179">
        <f t="shared" si="32"/>
        <v>122.05325438200337</v>
      </c>
    </row>
    <row r="205" spans="1:19" ht="15" hidden="1" x14ac:dyDescent="0.2">
      <c r="A205" s="32">
        <f t="shared" si="33"/>
        <v>2021</v>
      </c>
      <c r="B205" s="33" t="s">
        <v>15</v>
      </c>
      <c r="C205" s="157">
        <f>144.1*1.0101</f>
        <v>145.55540999999999</v>
      </c>
      <c r="D205" s="332">
        <v>202.5</v>
      </c>
      <c r="E205" s="249">
        <f>131/99.8*105.5</f>
        <v>138.48196392785573</v>
      </c>
      <c r="F205" s="346">
        <f>+F$173*(108.7/103.6)</f>
        <v>110.19766349463836</v>
      </c>
      <c r="G205" s="159">
        <v>0.4</v>
      </c>
      <c r="H205" s="66">
        <f t="shared" si="32"/>
        <v>124.8334610302412</v>
      </c>
    </row>
    <row r="206" spans="1:19" ht="15" hidden="1" x14ac:dyDescent="0.2">
      <c r="A206" s="32">
        <f t="shared" si="33"/>
        <v>2021</v>
      </c>
      <c r="B206" s="33" t="s">
        <v>16</v>
      </c>
      <c r="C206" s="157">
        <f>144.1*1.0101</f>
        <v>145.55540999999999</v>
      </c>
      <c r="D206" s="332">
        <v>245.4</v>
      </c>
      <c r="E206" s="249">
        <f>131/99.8*105.8</f>
        <v>138.87575150300603</v>
      </c>
      <c r="F206" s="346">
        <f>+F$173*(109.3/103.6)</f>
        <v>110.80593026645788</v>
      </c>
      <c r="G206" s="159">
        <v>0.45</v>
      </c>
      <c r="H206" s="66">
        <f t="shared" si="32"/>
        <v>130.0871512995032</v>
      </c>
      <c r="J206" s="13"/>
      <c r="K206" s="13"/>
    </row>
    <row r="207" spans="1:19" ht="15.75" hidden="1" thickBot="1" x14ac:dyDescent="0.25">
      <c r="A207" s="72">
        <f t="shared" si="33"/>
        <v>2021</v>
      </c>
      <c r="B207" s="73" t="s">
        <v>17</v>
      </c>
      <c r="C207" s="162">
        <f>144.1*1.0101</f>
        <v>145.55540999999999</v>
      </c>
      <c r="D207" s="334">
        <v>307.89999999999998</v>
      </c>
      <c r="E207" s="251">
        <f>131/99.8*106.8</f>
        <v>140.18837675350701</v>
      </c>
      <c r="F207" s="356">
        <f>+F$173*(109.8/103.6)</f>
        <v>111.31281924297416</v>
      </c>
      <c r="G207" s="163">
        <v>0.49</v>
      </c>
      <c r="H207" s="137">
        <f t="shared" si="32"/>
        <v>137.71584222205468</v>
      </c>
      <c r="I207" s="39"/>
      <c r="J207" s="39"/>
      <c r="K207" s="39"/>
      <c r="L207" s="39"/>
      <c r="N207" s="67"/>
      <c r="O207" s="67"/>
      <c r="P207" s="67"/>
      <c r="Q207" s="67"/>
      <c r="R207" s="67"/>
      <c r="S207" s="225"/>
    </row>
    <row r="208" spans="1:19" ht="15" hidden="1" x14ac:dyDescent="0.2">
      <c r="A208" s="74">
        <v>2022</v>
      </c>
      <c r="B208" s="185" t="s">
        <v>7</v>
      </c>
      <c r="C208" s="157">
        <f>144.9*1.0101</f>
        <v>146.36349000000001</v>
      </c>
      <c r="D208" s="332">
        <v>287.846</v>
      </c>
      <c r="E208" s="249">
        <f>131/99.8*107.1</f>
        <v>140.58216432865731</v>
      </c>
      <c r="F208" s="346">
        <f>+F$173*(109.7/103.6)</f>
        <v>111.21144144767091</v>
      </c>
      <c r="G208" s="159">
        <v>0.42</v>
      </c>
      <c r="H208" s="66">
        <f t="shared" ref="H208:H218" si="34">100+((C208-$C$40)/$C$40*100*$C$2)+((D208-$D$40)/$D$40*100*$D$2)+((E208-$E$40)/$E$40*100*$E$2)+((F208-$F$40)/$F$40*100*$F$2)+((G208-$G$40)/$G$40*100*$G$2)</f>
        <v>135.70474282368332</v>
      </c>
      <c r="N208" s="67"/>
      <c r="O208" s="67"/>
      <c r="P208" s="67"/>
      <c r="Q208" s="67"/>
      <c r="R208" s="67"/>
    </row>
    <row r="209" spans="1:16" ht="15" hidden="1" x14ac:dyDescent="0.2">
      <c r="A209" s="32">
        <f>A208</f>
        <v>2022</v>
      </c>
      <c r="B209" s="185" t="s">
        <v>8</v>
      </c>
      <c r="C209" s="157">
        <f>144.9*1.0101</f>
        <v>146.36349000000001</v>
      </c>
      <c r="D209" s="332">
        <v>362.3</v>
      </c>
      <c r="E209" s="249">
        <f>131/99.8*106.6</f>
        <v>139.92585170340681</v>
      </c>
      <c r="F209" s="346">
        <f>+F$173*(110.3/103.6)</f>
        <v>111.81970821949042</v>
      </c>
      <c r="G209" s="159">
        <v>0.54</v>
      </c>
      <c r="H209" s="66">
        <f t="shared" si="34"/>
        <v>144.73017776582452</v>
      </c>
      <c r="M209" s="225"/>
    </row>
    <row r="210" spans="1:16" ht="15" hidden="1" x14ac:dyDescent="0.2">
      <c r="A210" s="63">
        <f t="shared" ref="A210:A219" si="35">A209</f>
        <v>2022</v>
      </c>
      <c r="B210" s="64" t="s">
        <v>9</v>
      </c>
      <c r="C210" s="160">
        <f>144.9*1.0101</f>
        <v>146.36349000000001</v>
      </c>
      <c r="D210" s="333">
        <v>296.3</v>
      </c>
      <c r="E210" s="246">
        <f>131/99.8*108.1</f>
        <v>141.89478957915833</v>
      </c>
      <c r="F210" s="348">
        <f>+F$173*(113.2/103.6)</f>
        <v>114.75966428328483</v>
      </c>
      <c r="G210" s="159">
        <v>0.7</v>
      </c>
      <c r="H210" s="179">
        <f t="shared" si="34"/>
        <v>137.48316792202803</v>
      </c>
    </row>
    <row r="211" spans="1:16" ht="15" hidden="1" x14ac:dyDescent="0.2">
      <c r="A211" s="70">
        <f t="shared" si="35"/>
        <v>2022</v>
      </c>
      <c r="B211" s="71" t="s">
        <v>10</v>
      </c>
      <c r="C211" s="157">
        <f>145.2*1.0101</f>
        <v>146.66651999999999</v>
      </c>
      <c r="D211" s="332">
        <v>287.8</v>
      </c>
      <c r="E211" s="249">
        <f>131/99.8*109.2</f>
        <v>143.33867735470943</v>
      </c>
      <c r="F211" s="346">
        <f>+F$173*(113.6/103.6)</f>
        <v>115.16517546449785</v>
      </c>
      <c r="G211" s="158">
        <v>1.04</v>
      </c>
      <c r="H211" s="66">
        <f t="shared" si="34"/>
        <v>137.20395154881462</v>
      </c>
    </row>
    <row r="212" spans="1:16" ht="15" hidden="1" x14ac:dyDescent="0.2">
      <c r="A212" s="32">
        <f t="shared" si="35"/>
        <v>2022</v>
      </c>
      <c r="B212" s="33" t="s">
        <v>11</v>
      </c>
      <c r="C212" s="157">
        <f>145.2*1.0101</f>
        <v>146.66651999999999</v>
      </c>
      <c r="D212" s="332">
        <v>399.3</v>
      </c>
      <c r="E212" s="249">
        <f>131/99.8*109.9</f>
        <v>144.25751503006015</v>
      </c>
      <c r="F212" s="346">
        <f>+F$173*(113.8/103.6)</f>
        <v>115.36793105510438</v>
      </c>
      <c r="G212" s="159">
        <v>1.24</v>
      </c>
      <c r="H212" s="66">
        <f t="shared" si="34"/>
        <v>150.81176883621524</v>
      </c>
    </row>
    <row r="213" spans="1:16" ht="15.75" hidden="1" thickBot="1" x14ac:dyDescent="0.25">
      <c r="A213" s="63">
        <f t="shared" si="35"/>
        <v>2022</v>
      </c>
      <c r="B213" s="64" t="s">
        <v>12</v>
      </c>
      <c r="C213" s="160">
        <f>145.2*1.0101</f>
        <v>146.66651999999999</v>
      </c>
      <c r="D213" s="333">
        <v>340.9</v>
      </c>
      <c r="E213" s="246">
        <f>131/99.8*111.7</f>
        <v>146.62024048096194</v>
      </c>
      <c r="F213" s="348">
        <f>+F$173*(115.9/103.6)</f>
        <v>117.49686475647272</v>
      </c>
      <c r="G213" s="161">
        <v>1.58</v>
      </c>
      <c r="H213" s="179">
        <f>100+((C213-$C$40)/$C$40*100*$C$2)+((D213-$D$40)/$D$40*100*$D$2)+((E213-$E$40)/$E$40*100*$E$2)+((F213-$F$40)/$F$40*100*$F$2)+((G213-$G$40)/$G$40*100*$G$2)</f>
        <v>144.64803932076404</v>
      </c>
      <c r="I213" s="39"/>
      <c r="K213" s="67"/>
      <c r="L213" s="67"/>
      <c r="M213" s="67"/>
      <c r="N213" s="67"/>
      <c r="O213" s="67"/>
      <c r="P213" s="225"/>
    </row>
    <row r="214" spans="1:16" ht="15" hidden="1" x14ac:dyDescent="0.2">
      <c r="A214" s="32">
        <f t="shared" si="35"/>
        <v>2022</v>
      </c>
      <c r="B214" s="33" t="s">
        <v>30</v>
      </c>
      <c r="C214" s="157">
        <f>145.9*1.0101</f>
        <v>147.37359000000001</v>
      </c>
      <c r="D214" s="332">
        <v>312.60000000000002</v>
      </c>
      <c r="E214" s="249">
        <f>131/99.8*112.7</f>
        <v>147.93286573146295</v>
      </c>
      <c r="F214" s="346">
        <f>+F$173*(116.1/103.6)</f>
        <v>117.69962034707922</v>
      </c>
      <c r="G214" s="159">
        <v>1.84</v>
      </c>
      <c r="H214" s="66">
        <f t="shared" si="34"/>
        <v>142.1063929021411</v>
      </c>
    </row>
    <row r="215" spans="1:16" ht="15" hidden="1" x14ac:dyDescent="0.2">
      <c r="A215" s="32">
        <f t="shared" si="35"/>
        <v>2022</v>
      </c>
      <c r="B215" s="33" t="s">
        <v>13</v>
      </c>
      <c r="C215" s="157">
        <f>145.9*1.0101</f>
        <v>147.37359000000001</v>
      </c>
      <c r="D215" s="332">
        <v>340.9</v>
      </c>
      <c r="E215" s="249">
        <f>131/99.8*113.6</f>
        <v>149.11422845691382</v>
      </c>
      <c r="F215" s="346">
        <f>+F$173*(116.6/103.6)</f>
        <v>118.20650932359551</v>
      </c>
      <c r="G215" s="159">
        <v>2.0699999999999998</v>
      </c>
      <c r="H215" s="66">
        <f t="shared" si="34"/>
        <v>145.89355718732898</v>
      </c>
    </row>
    <row r="216" spans="1:16" ht="15" hidden="1" x14ac:dyDescent="0.2">
      <c r="A216" s="63">
        <f t="shared" si="35"/>
        <v>2022</v>
      </c>
      <c r="B216" s="64" t="s">
        <v>14</v>
      </c>
      <c r="C216" s="160">
        <f>145.9*1.0101</f>
        <v>147.37359000000001</v>
      </c>
      <c r="D216" s="333">
        <v>484.4</v>
      </c>
      <c r="E216" s="246">
        <f>131/99.8*114.9</f>
        <v>150.82064128256513</v>
      </c>
      <c r="F216" s="348">
        <f>+F$173*(117.7/103.6)</f>
        <v>119.32166507193132</v>
      </c>
      <c r="G216" s="161">
        <v>1.9</v>
      </c>
      <c r="H216" s="179">
        <f t="shared" si="34"/>
        <v>162.98460863969947</v>
      </c>
    </row>
    <row r="217" spans="1:16" ht="15" hidden="1" x14ac:dyDescent="0.2">
      <c r="A217" s="32">
        <f t="shared" si="35"/>
        <v>2022</v>
      </c>
      <c r="B217" s="33" t="s">
        <v>15</v>
      </c>
      <c r="C217" s="157">
        <f>147.2*1.0101</f>
        <v>148.68671999999998</v>
      </c>
      <c r="D217" s="332">
        <v>628.9</v>
      </c>
      <c r="E217" s="249">
        <f>131/99.8*114.9</f>
        <v>150.82064128256513</v>
      </c>
      <c r="F217" s="346">
        <f>+F$173*(118.4/103.6)</f>
        <v>120.03130963905411</v>
      </c>
      <c r="G217" s="158">
        <v>2.52</v>
      </c>
      <c r="H217" s="66">
        <f t="shared" si="34"/>
        <v>181.75812549431939</v>
      </c>
    </row>
    <row r="218" spans="1:16" ht="15" hidden="1" x14ac:dyDescent="0.2">
      <c r="A218" s="32">
        <f t="shared" si="35"/>
        <v>2022</v>
      </c>
      <c r="B218" s="33" t="s">
        <v>16</v>
      </c>
      <c r="C218" s="157">
        <f>147.2*1.0101</f>
        <v>148.68671999999998</v>
      </c>
      <c r="D218" s="332">
        <v>527.5</v>
      </c>
      <c r="E218" s="249">
        <f>131/99.8*116.4</f>
        <v>152.78957915831666</v>
      </c>
      <c r="F218" s="346">
        <f>+F$173*(118.5/103.6)</f>
        <v>120.13268743435736</v>
      </c>
      <c r="G218" s="159">
        <v>3.22</v>
      </c>
      <c r="H218" s="66">
        <f t="shared" si="34"/>
        <v>170.71297321702724</v>
      </c>
    </row>
    <row r="219" spans="1:16" ht="15.75" hidden="1" thickBot="1" x14ac:dyDescent="0.25">
      <c r="A219" s="72">
        <f t="shared" si="35"/>
        <v>2022</v>
      </c>
      <c r="B219" s="73" t="s">
        <v>17</v>
      </c>
      <c r="C219" s="162">
        <f>147.2*1.0101</f>
        <v>148.68671999999998</v>
      </c>
      <c r="D219" s="334">
        <v>301.7</v>
      </c>
      <c r="E219" s="251">
        <f>131/99.8*117.6</f>
        <v>154.36472945891785</v>
      </c>
      <c r="F219" s="356">
        <f>+F$173*(120.6/103.6)</f>
        <v>122.2616211357257</v>
      </c>
      <c r="G219" s="163">
        <v>3.06</v>
      </c>
      <c r="H219" s="137">
        <f t="shared" ref="H219:H224" si="36">100+((C219-$C$40)/$C$40*100*$C$2)+((D219-$D$40)/$D$40*100*$D$2)+((E219-$E$40)/$E$40*100*$E$2)+((F219-$F$40)/$F$40*100*$F$2)+((G219-$G$40)/$G$40*100*$G$2)</f>
        <v>143.93719079563346</v>
      </c>
    </row>
    <row r="220" spans="1:16" ht="15" x14ac:dyDescent="0.2">
      <c r="A220" s="74">
        <v>2023</v>
      </c>
      <c r="B220" s="185" t="s">
        <v>7</v>
      </c>
      <c r="C220" s="157">
        <f>148.2*1.0101</f>
        <v>149.69681999999997</v>
      </c>
      <c r="D220" s="332">
        <v>318.2</v>
      </c>
      <c r="E220" s="249">
        <f>131/99.8*116.6</f>
        <v>153.05210420841684</v>
      </c>
      <c r="F220" s="346">
        <f>+F$173*(120.9/103.6)</f>
        <v>122.56575452163548</v>
      </c>
      <c r="G220" s="159">
        <v>2.86</v>
      </c>
      <c r="H220" s="66">
        <f t="shared" si="36"/>
        <v>146.14524221518798</v>
      </c>
    </row>
    <row r="221" spans="1:16" ht="15" x14ac:dyDescent="0.2">
      <c r="A221" s="32">
        <f>A220</f>
        <v>2023</v>
      </c>
      <c r="B221" s="185" t="s">
        <v>8</v>
      </c>
      <c r="C221" s="157">
        <f>148.2*1.0101</f>
        <v>149.69681999999997</v>
      </c>
      <c r="D221" s="332">
        <v>373.9</v>
      </c>
      <c r="E221" s="249">
        <f>131/99.8*115.9</f>
        <v>152.13326653306615</v>
      </c>
      <c r="F221" s="346">
        <f>+F$173*(121/103.6)</f>
        <v>122.66713231693873</v>
      </c>
      <c r="G221" s="159">
        <v>3.33</v>
      </c>
      <c r="H221" s="66">
        <f t="shared" si="36"/>
        <v>153.31314362838552</v>
      </c>
      <c r="J221" s="225"/>
    </row>
    <row r="222" spans="1:16" ht="15" x14ac:dyDescent="0.2">
      <c r="A222" s="63">
        <f t="shared" ref="A222:A231" si="37">A221</f>
        <v>2023</v>
      </c>
      <c r="B222" s="64" t="s">
        <v>9</v>
      </c>
      <c r="C222" s="160">
        <f>148.2*1.0101</f>
        <v>149.69681999999997</v>
      </c>
      <c r="D222" s="333">
        <v>257.60000000000002</v>
      </c>
      <c r="E222" s="246">
        <f>131/99.8*116.4</f>
        <v>152.78957915831666</v>
      </c>
      <c r="F222" s="348">
        <f>+F$173*(122.7/103.6)</f>
        <v>124.39055483709409</v>
      </c>
      <c r="G222" s="161">
        <v>3.26</v>
      </c>
      <c r="H222" s="179">
        <f t="shared" si="36"/>
        <v>139.58505460316945</v>
      </c>
    </row>
    <row r="223" spans="1:16" ht="15" x14ac:dyDescent="0.2">
      <c r="A223" s="32">
        <f t="shared" si="37"/>
        <v>2023</v>
      </c>
      <c r="B223" s="33" t="s">
        <v>10</v>
      </c>
      <c r="C223" s="157">
        <f>149.4*1.0101</f>
        <v>150.90894</v>
      </c>
      <c r="D223" s="332">
        <v>232.8</v>
      </c>
      <c r="E223" s="249">
        <f>131/99.8*117.5</f>
        <v>154.23346693386776</v>
      </c>
      <c r="F223" s="346">
        <f>+F$173*(122.3/103.6)</f>
        <v>123.98504365588106</v>
      </c>
      <c r="G223" s="158">
        <v>3.58</v>
      </c>
      <c r="H223" s="66">
        <f t="shared" si="36"/>
        <v>137.76729247464692</v>
      </c>
    </row>
    <row r="224" spans="1:16" ht="15" x14ac:dyDescent="0.2">
      <c r="A224" s="32">
        <f t="shared" si="37"/>
        <v>2023</v>
      </c>
      <c r="B224" s="33" t="s">
        <v>11</v>
      </c>
      <c r="C224" s="157">
        <f>149.4*1.0101</f>
        <v>150.90894</v>
      </c>
      <c r="D224" s="332">
        <v>212.4</v>
      </c>
      <c r="E224" s="249">
        <f>131/99.8*117.3</f>
        <v>153.97094188376755</v>
      </c>
      <c r="F224" s="346">
        <f>+F$173*(122.9/103.6)</f>
        <v>124.59331042770057</v>
      </c>
      <c r="G224" s="159">
        <v>3.32</v>
      </c>
      <c r="H224" s="66">
        <f t="shared" si="36"/>
        <v>135.04987246814218</v>
      </c>
    </row>
    <row r="225" spans="1:15" ht="15" x14ac:dyDescent="0.2">
      <c r="A225" s="63">
        <f t="shared" si="37"/>
        <v>2023</v>
      </c>
      <c r="B225" s="64" t="s">
        <v>12</v>
      </c>
      <c r="C225" s="160">
        <f>149.4*1.0101</f>
        <v>150.90894</v>
      </c>
      <c r="D225" s="333">
        <v>209.4</v>
      </c>
      <c r="E225" s="246">
        <f>131/99.8*117.6</f>
        <v>154.36472945891785</v>
      </c>
      <c r="F225" s="348">
        <f>+F$173*(123/103.6)</f>
        <v>124.69468822300382</v>
      </c>
      <c r="G225" s="161">
        <v>3.35</v>
      </c>
      <c r="H225" s="179">
        <f t="shared" ref="H225:H233" si="38">100+((C225-$C$40)/$C$40*100*$C$2)+((D225-$D$40)/$D$40*100*$D$2)+((E225-$E$40)/$E$40*100*$E$2)+((F225-$F$40)/$F$40*100*$F$2)+((G225-$G$40)/$G$40*100*$G$2)</f>
        <v>134.76713729001608</v>
      </c>
      <c r="I225" s="67"/>
    </row>
    <row r="226" spans="1:15" ht="15" x14ac:dyDescent="0.2">
      <c r="A226" s="70">
        <f t="shared" si="37"/>
        <v>2023</v>
      </c>
      <c r="B226" s="75" t="s">
        <v>30</v>
      </c>
      <c r="C226" s="157">
        <f>150.8*1.0101</f>
        <v>152.32308</v>
      </c>
      <c r="D226" s="332">
        <v>184.6</v>
      </c>
      <c r="E226" s="249">
        <f>131/99.8*116</f>
        <v>152.26452905811624</v>
      </c>
      <c r="F226" s="346">
        <f>+F$173*(122.7/103.6)</f>
        <v>124.39055483709409</v>
      </c>
      <c r="G226" s="159">
        <v>3.45</v>
      </c>
      <c r="H226" s="66">
        <f t="shared" si="38"/>
        <v>132.54817739256833</v>
      </c>
    </row>
    <row r="227" spans="1:15" ht="15" x14ac:dyDescent="0.2">
      <c r="A227" s="32">
        <f t="shared" si="37"/>
        <v>2023</v>
      </c>
      <c r="B227" s="33" t="s">
        <v>13</v>
      </c>
      <c r="C227" s="157">
        <f>150.8*1.0101</f>
        <v>152.32308</v>
      </c>
      <c r="D227" s="332">
        <v>184.4</v>
      </c>
      <c r="E227" s="249">
        <f>131/99.8*116.4</f>
        <v>152.78957915831666</v>
      </c>
      <c r="F227" s="346">
        <f>+F$173*(123.3/103.6)</f>
        <v>124.9988216089136</v>
      </c>
      <c r="G227" s="159">
        <v>3.69</v>
      </c>
      <c r="H227" s="66">
        <f t="shared" si="38"/>
        <v>132.91900076819664</v>
      </c>
    </row>
    <row r="228" spans="1:15" ht="15" x14ac:dyDescent="0.2">
      <c r="A228" s="63">
        <f t="shared" si="37"/>
        <v>2023</v>
      </c>
      <c r="B228" s="64" t="s">
        <v>14</v>
      </c>
      <c r="C228" s="160">
        <f>150.8*1.0101</f>
        <v>152.32308</v>
      </c>
      <c r="D228" s="333">
        <v>193.6</v>
      </c>
      <c r="E228" s="246">
        <f>131/99.8*118.5</f>
        <v>155.54609218436875</v>
      </c>
      <c r="F228" s="348">
        <f>+F$173*(124.6/103.6)</f>
        <v>126.31673294785591</v>
      </c>
      <c r="G228" s="161">
        <v>3.67</v>
      </c>
      <c r="H228" s="179">
        <f t="shared" si="38"/>
        <v>134.30216344092889</v>
      </c>
    </row>
    <row r="229" spans="1:15" ht="15" x14ac:dyDescent="0.2">
      <c r="A229" s="32">
        <f t="shared" si="37"/>
        <v>2023</v>
      </c>
      <c r="B229" s="33" t="s">
        <v>15</v>
      </c>
      <c r="C229" s="157">
        <f>151.6*1.0101</f>
        <v>153.13115999999999</v>
      </c>
      <c r="D229" s="332">
        <v>203.4</v>
      </c>
      <c r="E229" s="249">
        <f>131/99.8*117.7</f>
        <v>154.49599198396794</v>
      </c>
      <c r="F229" s="346">
        <f>+F$173*(124.3/103.6)</f>
        <v>126.01259956194616</v>
      </c>
      <c r="G229" s="158">
        <v>3.67</v>
      </c>
      <c r="H229" s="66">
        <f t="shared" si="38"/>
        <v>135.81435943301605</v>
      </c>
      <c r="J229" s="157"/>
      <c r="K229" s="332"/>
      <c r="O229" s="66"/>
    </row>
    <row r="230" spans="1:15" ht="15" x14ac:dyDescent="0.2">
      <c r="A230" s="32">
        <f t="shared" si="37"/>
        <v>2023</v>
      </c>
      <c r="B230" s="33" t="s">
        <v>16</v>
      </c>
      <c r="C230" s="157">
        <f>151.6*1.0101</f>
        <v>153.13115999999999</v>
      </c>
      <c r="D230" s="332">
        <v>206</v>
      </c>
      <c r="E230" s="249">
        <f>131/99.8*117.4</f>
        <v>154.10220440881764</v>
      </c>
      <c r="F230" s="346">
        <f>+F$173*(124/103.6)</f>
        <v>125.70846617603638</v>
      </c>
      <c r="G230" s="159">
        <v>3.81</v>
      </c>
      <c r="H230" s="66">
        <f t="shared" si="38"/>
        <v>136.24451904135134</v>
      </c>
    </row>
    <row r="231" spans="1:15" ht="15.75" thickBot="1" x14ac:dyDescent="0.25">
      <c r="A231" s="72">
        <f t="shared" si="37"/>
        <v>2023</v>
      </c>
      <c r="B231" s="73" t="s">
        <v>17</v>
      </c>
      <c r="C231" s="162">
        <f>151.6*1.0101</f>
        <v>153.13115999999999</v>
      </c>
      <c r="D231" s="334">
        <v>220.2</v>
      </c>
      <c r="E231" s="251">
        <f>131/99.8*117.7</f>
        <v>154.49599198396794</v>
      </c>
      <c r="F231" s="356">
        <f>+F$173*(123.9/103.6)</f>
        <v>125.60708838073315</v>
      </c>
      <c r="G231" s="163">
        <v>3.78</v>
      </c>
      <c r="H231" s="137">
        <f t="shared" si="38"/>
        <v>137.91513821257186</v>
      </c>
    </row>
    <row r="232" spans="1:15" ht="15" x14ac:dyDescent="0.2">
      <c r="A232" s="74">
        <v>2024</v>
      </c>
      <c r="B232" s="185" t="s">
        <v>7</v>
      </c>
      <c r="C232" s="157">
        <f>153.5*1.0101</f>
        <v>155.05035000000001</v>
      </c>
      <c r="D232" s="332">
        <v>229.8</v>
      </c>
      <c r="E232" s="249">
        <f>131/99.8*117.3</f>
        <v>153.97094188376755</v>
      </c>
      <c r="F232" s="346">
        <f>+F$173*(123.5/103.6)</f>
        <v>125.20157719952012</v>
      </c>
      <c r="G232" s="159">
        <v>3.51</v>
      </c>
      <c r="H232" s="66">
        <f t="shared" si="38"/>
        <v>139.70474557394462</v>
      </c>
      <c r="N232" s="378"/>
    </row>
    <row r="233" spans="1:15" ht="15" x14ac:dyDescent="0.2">
      <c r="A233" s="32">
        <v>2023</v>
      </c>
      <c r="B233" s="185" t="s">
        <v>8</v>
      </c>
      <c r="C233" s="157">
        <f>153.5*1.0101</f>
        <v>155.05035000000001</v>
      </c>
      <c r="D233" s="332">
        <v>210.3</v>
      </c>
      <c r="E233" s="249">
        <f>131/99.8*116.7</f>
        <v>153.18336673346695</v>
      </c>
      <c r="F233" s="346">
        <f>+F$173*(123.3/103.6)</f>
        <v>124.9988216089136</v>
      </c>
      <c r="G233" s="159">
        <v>3.18</v>
      </c>
      <c r="H233" s="66">
        <f t="shared" si="38"/>
        <v>136.89487900297311</v>
      </c>
      <c r="N233" s="378"/>
    </row>
    <row r="234" spans="1:15" ht="15" x14ac:dyDescent="0.2">
      <c r="A234" s="63">
        <v>2023</v>
      </c>
      <c r="B234" s="64" t="s">
        <v>9</v>
      </c>
      <c r="C234" s="160">
        <f>153.5*1.0101</f>
        <v>155.05035000000001</v>
      </c>
      <c r="D234" s="333">
        <v>198.6</v>
      </c>
      <c r="E234" s="246">
        <f>131/99.8*117.8</f>
        <v>154.62725450901803</v>
      </c>
      <c r="F234" s="348">
        <f>+F$173*(122.3/103.6)</f>
        <v>123.98504365588106</v>
      </c>
      <c r="G234" s="161">
        <v>3.23</v>
      </c>
      <c r="H234" s="179">
        <f t="shared" ref="H234:H239" si="39">100+((C234-$C$40)/$C$40*100*$C$2)+((D234-$D$40)/$D$40*100*$D$2)+((E234-$E$40)/$E$40*100*$E$2)+((F234-$F$40)/$F$40*100*$F$2)+((G234-$G$40)/$G$40*100*$G$2)</f>
        <v>135.57095948397628</v>
      </c>
      <c r="N234" s="378"/>
    </row>
    <row r="235" spans="1:15" ht="15" x14ac:dyDescent="0.2">
      <c r="A235" s="70">
        <v>2023</v>
      </c>
      <c r="B235" s="71" t="s">
        <v>10</v>
      </c>
      <c r="C235" s="157">
        <f>154.8*1.0101</f>
        <v>156.36348000000001</v>
      </c>
      <c r="D235" s="332">
        <v>185.5</v>
      </c>
      <c r="E235" s="249">
        <f>131/99.8*118.4</f>
        <v>155.41482965931866</v>
      </c>
      <c r="F235" s="346">
        <f>+F$173*(122.6/103.6)</f>
        <v>124.28917704179081</v>
      </c>
      <c r="G235" s="158">
        <v>3.38</v>
      </c>
      <c r="H235" s="66">
        <f t="shared" si="39"/>
        <v>135.00834126758068</v>
      </c>
      <c r="N235" s="378"/>
    </row>
    <row r="236" spans="1:15" ht="15" x14ac:dyDescent="0.2">
      <c r="A236" s="32">
        <v>2023</v>
      </c>
      <c r="B236" s="33" t="s">
        <v>11</v>
      </c>
      <c r="C236" s="157">
        <f>154.8*1.0101</f>
        <v>156.36348000000001</v>
      </c>
      <c r="D236" s="332">
        <v>187.2</v>
      </c>
      <c r="E236" s="249">
        <f>131/99.8*118.4</f>
        <v>155.41482965931866</v>
      </c>
      <c r="F236" s="346">
        <f>+F$173*(122.2/103.6)</f>
        <v>123.88366586057781</v>
      </c>
      <c r="G236" s="159">
        <v>3.39</v>
      </c>
      <c r="H236" s="66">
        <f t="shared" si="39"/>
        <v>135.18571483599544</v>
      </c>
      <c r="N236" s="378"/>
    </row>
    <row r="237" spans="1:15" ht="15" x14ac:dyDescent="0.2">
      <c r="A237" s="63">
        <v>2023</v>
      </c>
      <c r="B237" s="64" t="s">
        <v>12</v>
      </c>
      <c r="C237" s="160">
        <f>154.8*1.0101</f>
        <v>156.36348000000001</v>
      </c>
      <c r="D237" s="333">
        <v>204</v>
      </c>
      <c r="E237" s="246">
        <f>131/99.8*118.5</f>
        <v>155.54609218436875</v>
      </c>
      <c r="F237" s="348">
        <f>+F$173*(122.7/103.6)</f>
        <v>124.39055483709409</v>
      </c>
      <c r="G237" s="161">
        <v>3.43</v>
      </c>
      <c r="H237" s="179">
        <f t="shared" si="39"/>
        <v>137.29210357842908</v>
      </c>
      <c r="N237" s="378"/>
    </row>
    <row r="238" spans="1:15" ht="15" x14ac:dyDescent="0.2">
      <c r="A238" s="70">
        <v>2023</v>
      </c>
      <c r="B238" s="75" t="s">
        <v>30</v>
      </c>
      <c r="C238" s="157">
        <f>156.1*1.0101</f>
        <v>157.67660999999998</v>
      </c>
      <c r="D238" s="332">
        <v>210.3</v>
      </c>
      <c r="E238" s="249">
        <f>131/99.8*118.5</f>
        <v>155.54609218436875</v>
      </c>
      <c r="F238" s="346">
        <f>+F$173*(123.2/103.6)</f>
        <v>124.89744381361035</v>
      </c>
      <c r="G238" s="159">
        <v>3.49</v>
      </c>
      <c r="H238" s="66">
        <f t="shared" si="39"/>
        <v>138.89004396478558</v>
      </c>
    </row>
    <row r="239" spans="1:15" ht="15" x14ac:dyDescent="0.2">
      <c r="A239" s="32">
        <v>2023</v>
      </c>
      <c r="B239" s="33" t="s">
        <v>13</v>
      </c>
      <c r="C239" s="157">
        <f>156.1*1.0101</f>
        <v>157.67660999999998</v>
      </c>
      <c r="D239" s="332">
        <v>216.4</v>
      </c>
      <c r="E239" s="249">
        <f>131/99.8*118.5</f>
        <v>155.54609218436875</v>
      </c>
      <c r="F239" s="346">
        <f>+F$173*(123.2/103.6)</f>
        <v>124.89744381361035</v>
      </c>
      <c r="G239" s="159">
        <v>3.4</v>
      </c>
      <c r="H239" s="66">
        <f t="shared" si="39"/>
        <v>139.50302689380624</v>
      </c>
      <c r="N239" s="378"/>
    </row>
    <row r="240" spans="1:15" ht="15" x14ac:dyDescent="0.2">
      <c r="A240" s="63">
        <v>2023</v>
      </c>
      <c r="B240" s="64" t="s">
        <v>14</v>
      </c>
      <c r="C240" s="160">
        <f>156.1*1.0101</f>
        <v>157.67660999999998</v>
      </c>
      <c r="D240" s="333">
        <v>212</v>
      </c>
      <c r="E240" s="246">
        <f>131/99.8*119.8</f>
        <v>157.25250501002006</v>
      </c>
      <c r="F240" s="348">
        <f>+F$173*(123.4/103.6)</f>
        <v>125.10019940421687</v>
      </c>
      <c r="G240" s="161">
        <v>3.12</v>
      </c>
      <c r="H240" s="179">
        <f t="shared" ref="H240:H245" si="40">100+((C240-$C$40)/$C$40*100*$C$2)+((D240-$D$40)/$D$40*100*$D$2)+((E240-$E$40)/$E$40*100*$E$2)+((F240-$F$40)/$F$40*100*$F$2)+((G240-$G$40)/$G$40*100*$G$2)</f>
        <v>138.76400220844329</v>
      </c>
      <c r="N240" s="378"/>
    </row>
    <row r="241" spans="1:14" ht="15" x14ac:dyDescent="0.2">
      <c r="A241" s="32">
        <v>2023</v>
      </c>
      <c r="B241" s="33" t="s">
        <v>15</v>
      </c>
      <c r="C241" s="157">
        <f>158.9*1.0101</f>
        <v>160.50489000000002</v>
      </c>
      <c r="D241" s="332">
        <v>226.9</v>
      </c>
      <c r="E241" s="249">
        <f>131/99.8*119.3</f>
        <v>156.59619238476955</v>
      </c>
      <c r="F241" s="346">
        <f>+F$173*(123.6/103.6)</f>
        <v>125.30295499482337</v>
      </c>
      <c r="G241" s="158">
        <v>3.05</v>
      </c>
      <c r="H241" s="66">
        <f t="shared" si="40"/>
        <v>141.98568117017149</v>
      </c>
      <c r="N241" s="378"/>
    </row>
    <row r="242" spans="1:14" ht="15" x14ac:dyDescent="0.2">
      <c r="A242" s="32">
        <v>2023</v>
      </c>
      <c r="B242" s="33" t="s">
        <v>16</v>
      </c>
      <c r="C242" s="157">
        <f>158.9*1.0101</f>
        <v>160.50489000000002</v>
      </c>
      <c r="D242" s="332">
        <v>226.6</v>
      </c>
      <c r="E242" s="249">
        <f>131/99.8*118.9</f>
        <v>156.07114228456916</v>
      </c>
      <c r="F242" s="346">
        <f>+F$173*(123.5/103.6)</f>
        <v>125.20157719952012</v>
      </c>
      <c r="G242" s="159">
        <v>2.82</v>
      </c>
      <c r="H242" s="66">
        <f t="shared" si="40"/>
        <v>141.6148951017696</v>
      </c>
      <c r="N242" s="378"/>
    </row>
    <row r="243" spans="1:14" ht="15.75" thickBot="1" x14ac:dyDescent="0.25">
      <c r="A243" s="72">
        <v>2023</v>
      </c>
      <c r="B243" s="73" t="s">
        <v>17</v>
      </c>
      <c r="C243" s="162">
        <f>158.9*1.0101</f>
        <v>160.50489000000002</v>
      </c>
      <c r="D243" s="334">
        <v>228.6</v>
      </c>
      <c r="E243" s="251">
        <f>131/99.8*119.6</f>
        <v>156.98997995991985</v>
      </c>
      <c r="F243" s="356">
        <f>+F$173*(122.9/103.6)</f>
        <v>124.59331042770057</v>
      </c>
      <c r="G243" s="163">
        <v>2.9</v>
      </c>
      <c r="H243" s="137">
        <f t="shared" si="40"/>
        <v>141.9608827065928</v>
      </c>
      <c r="N243" s="378"/>
    </row>
    <row r="244" spans="1:14" ht="15" x14ac:dyDescent="0.2">
      <c r="A244" s="74">
        <v>2025</v>
      </c>
      <c r="B244" s="185" t="s">
        <v>7</v>
      </c>
      <c r="C244" s="157">
        <f>(159.5*1.0101)</f>
        <v>161.11095</v>
      </c>
      <c r="D244" s="332">
        <v>232.9</v>
      </c>
      <c r="E244" s="249">
        <f>131/99.8*119.2</f>
        <v>156.46492985971946</v>
      </c>
      <c r="F244" s="346">
        <f>+F$173*(123.2/103.6)</f>
        <v>124.89744381361035</v>
      </c>
      <c r="G244" s="159">
        <v>2.67</v>
      </c>
      <c r="H244" s="66">
        <f t="shared" si="40"/>
        <v>142.51014146513387</v>
      </c>
      <c r="K244" s="378"/>
      <c r="L244" t="s">
        <v>113</v>
      </c>
    </row>
    <row r="245" spans="1:14" ht="15" x14ac:dyDescent="0.2">
      <c r="A245" s="32">
        <v>2023</v>
      </c>
      <c r="B245" s="185" t="s">
        <v>8</v>
      </c>
      <c r="C245" s="157">
        <f>(159.5*1.0101)</f>
        <v>161.11095</v>
      </c>
      <c r="D245" s="332">
        <v>235.8</v>
      </c>
      <c r="E245" s="249">
        <f>131/99.8*118.9</f>
        <v>156.07114228456916</v>
      </c>
      <c r="F245" s="346">
        <f>+F$173*(123.5/103.6)/113.8*113.8</f>
        <v>125.20157719952012</v>
      </c>
      <c r="G245" s="159">
        <v>2.82</v>
      </c>
      <c r="H245" s="66">
        <f t="shared" si="40"/>
        <v>143.04497297601324</v>
      </c>
      <c r="N245" s="378"/>
    </row>
    <row r="246" spans="1:14" ht="15" x14ac:dyDescent="0.2">
      <c r="A246" s="63">
        <v>2023</v>
      </c>
      <c r="B246" s="64" t="s">
        <v>9</v>
      </c>
      <c r="C246" s="391">
        <f>(159.5*1.0101)/124.7*124.7</f>
        <v>161.11095</v>
      </c>
      <c r="D246" s="333">
        <v>241.4</v>
      </c>
      <c r="E246" s="246">
        <f>131/99.8*119.6</f>
        <v>156.98997995991985</v>
      </c>
      <c r="F246" s="384">
        <f>+F$173*(123.5/103.6)/113.8*113.1</f>
        <v>124.43144447509424</v>
      </c>
      <c r="G246" s="161">
        <v>2.73</v>
      </c>
      <c r="H246" s="179">
        <f>100+((C246-$C$40)/$C$40*100*$C$2)+((D246-$D$40)/$D$40*100*$D$2)+((E246-$E$40)/$E$40*100*$E$2)+((F246-$F$40)/$F$40*100*$F$2)+((G246-$G$40)/$G$40*100*$G$2)</f>
        <v>143.59069250800687</v>
      </c>
      <c r="L246" s="225" t="s">
        <v>119</v>
      </c>
      <c r="N246" s="378"/>
    </row>
    <row r="247" spans="1:14" ht="15" x14ac:dyDescent="0.2">
      <c r="A247" s="70">
        <v>2023</v>
      </c>
      <c r="B247" s="71" t="s">
        <v>10</v>
      </c>
      <c r="C247" s="392">
        <f>(159.5*1.0101)/124.7*125.8</f>
        <v>162.53213720930231</v>
      </c>
      <c r="D247" s="332">
        <v>248.9</v>
      </c>
      <c r="E247" s="249">
        <f>131/99.8*120.8</f>
        <v>158.56513026052104</v>
      </c>
      <c r="F247" s="393">
        <f>+F$173*(123.5/103.6)/113.8*112.9</f>
        <v>124.21140655382972</v>
      </c>
      <c r="G247" s="159">
        <v>2.69</v>
      </c>
      <c r="H247" s="66">
        <f>100+((C247-$C$40)/$C$40*100*$C$2)+((D247-$D$40)/$D$40*100*$D$2)+((E247-$E$40)/$E$40*100*$E$2)+((F247-$F$40)/$F$40*100*$F$2)+((G247-$G$40)/$G$40*100*$G$2)</f>
        <v>145.30712794449039</v>
      </c>
      <c r="N247" s="378"/>
    </row>
    <row r="248" spans="1:14" ht="15" x14ac:dyDescent="0.2">
      <c r="A248" s="32">
        <v>2023</v>
      </c>
      <c r="B248" s="33" t="s">
        <v>11</v>
      </c>
      <c r="C248" s="392">
        <f t="shared" ref="C248:C250" si="41">(159.5*1.0101)/124.7*125.8</f>
        <v>162.53213720930231</v>
      </c>
      <c r="D248" s="332">
        <v>227.5</v>
      </c>
      <c r="E248" s="249">
        <f>131/99.8*120.2</f>
        <v>157.77755511022045</v>
      </c>
      <c r="F248" s="346">
        <f>+F$173*(123.5/103.6)/113.8*112.8</f>
        <v>124.10138759319744</v>
      </c>
      <c r="G248" s="159">
        <v>2.75</v>
      </c>
      <c r="H248" s="66">
        <f>100+((C248-$C$40)/$C$40*100*$C$2)+((D248-$D$40)/$D$40*100*$D$2)+((E248-$E$40)/$E$40*100*$E$2)+((F248-$F$40)/$F$40*100*$F$2)+((G248-$G$40)/$G$40*100*$G$2)</f>
        <v>142.77023250323901</v>
      </c>
      <c r="N248" s="378"/>
    </row>
    <row r="249" spans="1:14" ht="15" x14ac:dyDescent="0.2">
      <c r="A249" s="63">
        <v>2023</v>
      </c>
      <c r="B249" s="64" t="s">
        <v>12</v>
      </c>
      <c r="C249" s="391">
        <f t="shared" si="41"/>
        <v>162.53213720930231</v>
      </c>
      <c r="D249" s="333">
        <v>200</v>
      </c>
      <c r="E249" s="246">
        <f>131/99.8*120.3</f>
        <v>157.90881763527054</v>
      </c>
      <c r="F249" s="348">
        <f>+F$173*(123.5/103.6)/113.8*114.6</f>
        <v>126.08172888457825</v>
      </c>
      <c r="G249" s="161">
        <v>2.61</v>
      </c>
      <c r="H249" s="179">
        <f>100+((C249-$C$40)/$C$40*100*$C$2)+((D249-$D$40)/$D$40*100*$D$2)+((E249-$E$40)/$E$40*100*$E$2)+((F249-$F$40)/$F$40*100*$F$2)+((G249-$G$40)/$G$40*100*$G$2)</f>
        <v>139.51296790284567</v>
      </c>
      <c r="N249" s="378"/>
    </row>
    <row r="250" spans="1:14" ht="15" x14ac:dyDescent="0.2">
      <c r="A250" s="70">
        <v>2023</v>
      </c>
      <c r="B250" s="75" t="s">
        <v>30</v>
      </c>
      <c r="C250" s="392">
        <f>(159.5*1.0101)/124.7*126.3</f>
        <v>163.17813139534883</v>
      </c>
      <c r="D250" s="332">
        <v>198.5</v>
      </c>
      <c r="E250" s="249">
        <f>131/99.8*120.4</f>
        <v>158.04008016032066</v>
      </c>
      <c r="F250" s="393">
        <f>+F$173*(123.5/103.6)/113.8*114.9</f>
        <v>126.41178576647506</v>
      </c>
      <c r="G250" s="159">
        <v>2.67</v>
      </c>
      <c r="H250" s="66">
        <f>100+((C250-$C$40)/$C$40*100*$C$2)+((D250-$D$40)/$D$40*100*$D$2)+((E250-$E$40)/$E$40*100*$E$2)+((F250-$F$40)/$F$40*100*$F$2)+((G250-$G$40)/$G$40*100*$G$2)</f>
        <v>139.80645511018673</v>
      </c>
      <c r="N250" s="378"/>
    </row>
    <row r="251" spans="1:14" ht="15" x14ac:dyDescent="0.2">
      <c r="A251" s="32">
        <v>2023</v>
      </c>
      <c r="B251" s="33" t="s">
        <v>13</v>
      </c>
      <c r="C251" s="392">
        <f t="shared" ref="C251:C252" si="42">(159.5*1.0101)/124.7*126.3</f>
        <v>163.17813139534883</v>
      </c>
      <c r="D251" s="171">
        <f t="shared" ref="D250:D255" si="43">D250</f>
        <v>198.5</v>
      </c>
      <c r="E251" s="171">
        <f t="shared" ref="E250:E255" si="44">E250*(1+(((SUM(E$232:E$243)-SUM(E$220:E$231))/SUM(E$220:E$231))/12))</f>
        <v>158.19662045324338</v>
      </c>
      <c r="F251" s="171">
        <f t="shared" ref="F250:F255" si="45">F250*(1+(((SUM(F$232:F$243)-SUM(F$220:F$231))/SUM(F$220:F$231))/12))</f>
        <v>126.41749697031381</v>
      </c>
      <c r="G251" s="98">
        <f t="shared" ref="G250:G255" si="46">+G250</f>
        <v>2.67</v>
      </c>
      <c r="H251" s="367">
        <f t="shared" ref="H250:H255" si="47">100+((C251-$C$40)/$C$40*100*$C$2)+((D251-$D$40)/$D$40*100*$D$2)+((E251-$E$40)/$E$40*100*$E$2)+((F251-$F$40)/$F$40*100*$F$2)+((G251-$G$40)/$G$40*100*$G$2)</f>
        <v>139.81782708765743</v>
      </c>
      <c r="N251" s="378"/>
    </row>
    <row r="252" spans="1:14" ht="15" x14ac:dyDescent="0.2">
      <c r="A252" s="63">
        <v>2023</v>
      </c>
      <c r="B252" s="64" t="s">
        <v>14</v>
      </c>
      <c r="C252" s="391">
        <f t="shared" si="42"/>
        <v>163.17813139534883</v>
      </c>
      <c r="D252" s="172">
        <f t="shared" si="43"/>
        <v>198.5</v>
      </c>
      <c r="E252" s="172">
        <f t="shared" si="44"/>
        <v>158.35331580090465</v>
      </c>
      <c r="F252" s="172">
        <f t="shared" si="45"/>
        <v>126.4232084321811</v>
      </c>
      <c r="G252" s="99">
        <f t="shared" si="46"/>
        <v>2.67</v>
      </c>
      <c r="H252" s="368">
        <f t="shared" si="47"/>
        <v>139.82920982876641</v>
      </c>
      <c r="N252" s="378"/>
    </row>
    <row r="253" spans="1:14" ht="15" x14ac:dyDescent="0.2">
      <c r="A253" s="32">
        <v>2023</v>
      </c>
      <c r="B253" s="33" t="s">
        <v>15</v>
      </c>
      <c r="C253" s="171">
        <f>C250*(1+(((SUM(C$232:C$243)-SUM(C$220:C$231))/SUM(C$220:C$231))/4))</f>
        <v>164.76231908764532</v>
      </c>
      <c r="D253" s="171">
        <f t="shared" si="43"/>
        <v>198.5</v>
      </c>
      <c r="E253" s="171">
        <f>E252*(1+(((SUM(E$232:E$243)-SUM(E$220:E$231))/SUM(E$220:E$231))/12))</f>
        <v>158.51016635688774</v>
      </c>
      <c r="F253" s="171">
        <f t="shared" si="45"/>
        <v>126.42892015208859</v>
      </c>
      <c r="G253" s="98">
        <f t="shared" si="46"/>
        <v>2.67</v>
      </c>
      <c r="H253" s="367">
        <f t="shared" si="47"/>
        <v>140.71584516310091</v>
      </c>
      <c r="N253" s="378"/>
    </row>
    <row r="254" spans="1:14" ht="15" x14ac:dyDescent="0.2">
      <c r="A254" s="32">
        <v>2023</v>
      </c>
      <c r="B254" s="33" t="s">
        <v>16</v>
      </c>
      <c r="C254" s="171">
        <f t="shared" ref="C250:C255" si="48">C251*(1+(((SUM(C$232:C$243)-SUM(C$220:C$231))/SUM(C$220:C$231))/4))</f>
        <v>164.76231908764532</v>
      </c>
      <c r="D254" s="171">
        <f t="shared" si="43"/>
        <v>198.5</v>
      </c>
      <c r="E254" s="171">
        <f>E253*(1+(((SUM(E$232:E$243)-SUM(E$220:E$231))/SUM(E$220:E$231))/12))</f>
        <v>158.66717227492808</v>
      </c>
      <c r="F254" s="171">
        <f>F253*(1+(((SUM(F$232:F$243)-SUM(F$220:F$231))/SUM(F$220:F$231))/12))</f>
        <v>126.43463213004794</v>
      </c>
      <c r="G254" s="98">
        <f t="shared" si="46"/>
        <v>2.67</v>
      </c>
      <c r="H254" s="367">
        <f t="shared" si="47"/>
        <v>140.72724946341364</v>
      </c>
      <c r="N254" s="378"/>
    </row>
    <row r="255" spans="1:14" ht="15.75" thickBot="1" x14ac:dyDescent="0.25">
      <c r="A255" s="32">
        <v>2023</v>
      </c>
      <c r="B255" s="33" t="s">
        <v>17</v>
      </c>
      <c r="C255" s="374">
        <f t="shared" si="48"/>
        <v>164.76231908764532</v>
      </c>
      <c r="D255" s="374">
        <f t="shared" si="43"/>
        <v>198.5</v>
      </c>
      <c r="E255" s="374">
        <f t="shared" si="44"/>
        <v>158.82433370891331</v>
      </c>
      <c r="F255" s="374">
        <f t="shared" si="45"/>
        <v>126.44034436607082</v>
      </c>
      <c r="G255" s="375">
        <f t="shared" si="46"/>
        <v>2.67</v>
      </c>
      <c r="H255" s="376">
        <f t="shared" si="47"/>
        <v>140.73866455931295</v>
      </c>
      <c r="J255" s="13"/>
      <c r="K255" s="13"/>
      <c r="L255" s="13"/>
      <c r="N255" s="378"/>
    </row>
    <row r="256" spans="1:14" ht="15" x14ac:dyDescent="0.2">
      <c r="A256" s="74">
        <v>2026</v>
      </c>
      <c r="B256" s="185" t="s">
        <v>7</v>
      </c>
      <c r="C256" s="171">
        <f>C253*(1+(((SUM(C$244:C$255)-SUM(C$232:C$243))/SUM(C$232:C$243))/4))</f>
        <v>166.20087331420046</v>
      </c>
      <c r="D256" s="171">
        <f>D255</f>
        <v>198.5</v>
      </c>
      <c r="E256" s="171">
        <f>E255*(1+(((SUM(E$244:E$255)-SUM(E$232:E$243))/SUM(E$232:E$243))/12))</f>
        <v>159.02440695264232</v>
      </c>
      <c r="F256" s="171">
        <f>F255*(1+(((SUM(F$244:F$255)-SUM(F$232:F$243))/SUM(F$232:F$243))/12))</f>
        <v>126.51594856452611</v>
      </c>
      <c r="G256" s="98">
        <f>+G255</f>
        <v>2.67</v>
      </c>
      <c r="H256" s="380">
        <f>100+((C256-$C$40)/$C$40*100*$C$2)+((D256-$D$40)/$D$40*100*$D$2)+((E256-$E$40)/$E$40*100*$E$2)+((F256-$F$40)/$F$40*100*$F$2)+((G256-$G$40)/$G$40*100*$G$2)</f>
        <v>141.55431138517176</v>
      </c>
      <c r="J256" s="13"/>
      <c r="K256" s="13"/>
      <c r="L256" s="13"/>
      <c r="N256" s="378"/>
    </row>
    <row r="257" spans="1:14" ht="15" x14ac:dyDescent="0.2">
      <c r="A257" s="32">
        <v>2023</v>
      </c>
      <c r="B257" s="185" t="s">
        <v>8</v>
      </c>
      <c r="C257" s="171">
        <f t="shared" ref="C257:C267" si="49">C254*(1+(((SUM(C$244:C$255)-SUM(C$232:C$243))/SUM(C$232:C$243))/4))</f>
        <v>166.20087331420046</v>
      </c>
      <c r="D257" s="171">
        <f t="shared" ref="D257:D267" si="50">D256</f>
        <v>198.5</v>
      </c>
      <c r="E257" s="171">
        <f t="shared" ref="E257:E267" si="51">E256*(1+(((SUM(E$244:E$255)-SUM(E$232:E$243))/SUM(E$232:E$243))/12))</f>
        <v>159.22473223144632</v>
      </c>
      <c r="F257" s="171">
        <f t="shared" ref="F257:F267" si="52">F256*(1+(((SUM(F$244:F$255)-SUM(F$232:F$243))/SUM(F$232:F$243))/12))</f>
        <v>126.59159797003026</v>
      </c>
      <c r="G257" s="98">
        <f t="shared" ref="G257:G267" si="53">+G256</f>
        <v>2.67</v>
      </c>
      <c r="H257" s="380">
        <f t="shared" ref="H257:H267" si="54">100+((C257-$C$40)/$C$40*100*$C$2)+((D257-$D$40)/$D$40*100*$D$2)+((E257-$E$40)/$E$40*100*$E$2)+((F257-$F$40)/$F$40*100*$F$2)+((G257-$G$40)/$G$40*100*$G$2)</f>
        <v>141.57519851751593</v>
      </c>
      <c r="J257" s="13"/>
      <c r="K257" s="13"/>
      <c r="L257" s="13"/>
      <c r="N257" s="378"/>
    </row>
    <row r="258" spans="1:14" ht="15" x14ac:dyDescent="0.2">
      <c r="A258" s="63">
        <v>2023</v>
      </c>
      <c r="B258" s="64" t="s">
        <v>9</v>
      </c>
      <c r="C258" s="172">
        <f t="shared" si="49"/>
        <v>166.20087331420046</v>
      </c>
      <c r="D258" s="172">
        <f t="shared" si="50"/>
        <v>198.5</v>
      </c>
      <c r="E258" s="172">
        <f t="shared" si="51"/>
        <v>159.42530986281744</v>
      </c>
      <c r="F258" s="172">
        <f t="shared" si="52"/>
        <v>126.66729260961452</v>
      </c>
      <c r="G258" s="99">
        <f t="shared" si="53"/>
        <v>2.67</v>
      </c>
      <c r="H258" s="381">
        <f t="shared" si="54"/>
        <v>141.59610732147996</v>
      </c>
      <c r="J258" s="13"/>
      <c r="K258" s="13"/>
      <c r="L258" s="13"/>
      <c r="N258" s="378"/>
    </row>
    <row r="259" spans="1:14" ht="15" x14ac:dyDescent="0.2">
      <c r="A259" s="70">
        <v>2023</v>
      </c>
      <c r="B259" s="71" t="s">
        <v>10</v>
      </c>
      <c r="C259" s="171">
        <f t="shared" si="49"/>
        <v>167.65198768359772</v>
      </c>
      <c r="D259" s="173">
        <f t="shared" si="50"/>
        <v>198.5</v>
      </c>
      <c r="E259" s="171">
        <f t="shared" si="51"/>
        <v>159.62614016464775</v>
      </c>
      <c r="F259" s="171">
        <f t="shared" si="52"/>
        <v>126.74303251032633</v>
      </c>
      <c r="G259" s="170">
        <f t="shared" si="53"/>
        <v>2.67</v>
      </c>
      <c r="H259" s="380">
        <f t="shared" si="54"/>
        <v>142.41875846766516</v>
      </c>
      <c r="J259" s="13"/>
      <c r="K259" s="13"/>
      <c r="L259" s="13"/>
      <c r="N259" s="378"/>
    </row>
    <row r="260" spans="1:14" ht="15" x14ac:dyDescent="0.2">
      <c r="A260" s="32">
        <v>2023</v>
      </c>
      <c r="B260" s="33" t="s">
        <v>11</v>
      </c>
      <c r="C260" s="171">
        <f t="shared" si="49"/>
        <v>167.65198768359772</v>
      </c>
      <c r="D260" s="171">
        <f t="shared" si="50"/>
        <v>198.5</v>
      </c>
      <c r="E260" s="171">
        <f t="shared" si="51"/>
        <v>159.82722345522976</v>
      </c>
      <c r="F260" s="171">
        <f t="shared" si="52"/>
        <v>126.81881769922929</v>
      </c>
      <c r="G260" s="98">
        <f t="shared" si="53"/>
        <v>2.67</v>
      </c>
      <c r="H260" s="380">
        <f t="shared" si="54"/>
        <v>142.43971068847455</v>
      </c>
      <c r="J260" s="13"/>
      <c r="K260" s="13"/>
      <c r="L260" s="13"/>
      <c r="N260" s="378"/>
    </row>
    <row r="261" spans="1:14" ht="15" x14ac:dyDescent="0.2">
      <c r="A261" s="63">
        <v>2023</v>
      </c>
      <c r="B261" s="64" t="s">
        <v>12</v>
      </c>
      <c r="C261" s="172">
        <f t="shared" si="49"/>
        <v>167.65198768359772</v>
      </c>
      <c r="D261" s="172">
        <f t="shared" si="50"/>
        <v>198.5</v>
      </c>
      <c r="E261" s="172">
        <f t="shared" si="51"/>
        <v>160.02856005325697</v>
      </c>
      <c r="F261" s="172">
        <f t="shared" si="52"/>
        <v>126.89464820340318</v>
      </c>
      <c r="G261" s="99">
        <f t="shared" si="53"/>
        <v>2.67</v>
      </c>
      <c r="H261" s="381">
        <f t="shared" si="54"/>
        <v>142.46068465456801</v>
      </c>
      <c r="J261" s="13"/>
      <c r="K261" s="13"/>
      <c r="L261" s="13"/>
      <c r="N261" s="378"/>
    </row>
    <row r="262" spans="1:14" ht="15" x14ac:dyDescent="0.2">
      <c r="A262" s="70">
        <v>2023</v>
      </c>
      <c r="B262" s="75" t="s">
        <v>30</v>
      </c>
      <c r="C262" s="171">
        <f t="shared" si="49"/>
        <v>169.11577185954343</v>
      </c>
      <c r="D262" s="171">
        <f t="shared" si="50"/>
        <v>198.5</v>
      </c>
      <c r="E262" s="171">
        <f t="shared" si="51"/>
        <v>160.23015027782432</v>
      </c>
      <c r="F262" s="171">
        <f t="shared" si="52"/>
        <v>126.97052404994398</v>
      </c>
      <c r="G262" s="98">
        <f t="shared" si="53"/>
        <v>2.67</v>
      </c>
      <c r="H262" s="380">
        <f t="shared" si="54"/>
        <v>143.29040092975529</v>
      </c>
      <c r="J262" s="13"/>
      <c r="K262" s="13"/>
      <c r="L262" s="13"/>
      <c r="N262" s="378"/>
    </row>
    <row r="263" spans="1:14" ht="15" x14ac:dyDescent="0.2">
      <c r="A263" s="32">
        <v>2023</v>
      </c>
      <c r="B263" s="33" t="s">
        <v>13</v>
      </c>
      <c r="C263" s="171">
        <f t="shared" si="49"/>
        <v>169.11577185954343</v>
      </c>
      <c r="D263" s="171">
        <f t="shared" si="50"/>
        <v>198.5</v>
      </c>
      <c r="E263" s="171">
        <f t="shared" si="51"/>
        <v>160.43199444842872</v>
      </c>
      <c r="F263" s="171">
        <f t="shared" si="52"/>
        <v>127.04644526596387</v>
      </c>
      <c r="G263" s="98">
        <f t="shared" si="53"/>
        <v>2.67</v>
      </c>
      <c r="H263" s="380">
        <f t="shared" si="54"/>
        <v>143.31141846028598</v>
      </c>
      <c r="J263" s="13"/>
      <c r="K263" s="13"/>
      <c r="L263" s="13"/>
      <c r="N263" s="378"/>
    </row>
    <row r="264" spans="1:14" ht="15" x14ac:dyDescent="0.2">
      <c r="A264" s="63">
        <v>2023</v>
      </c>
      <c r="B264" s="64" t="s">
        <v>14</v>
      </c>
      <c r="C264" s="172">
        <f t="shared" si="49"/>
        <v>169.11577185954343</v>
      </c>
      <c r="D264" s="172">
        <f t="shared" si="50"/>
        <v>198.5</v>
      </c>
      <c r="E264" s="172">
        <f t="shared" si="51"/>
        <v>160.63409288496956</v>
      </c>
      <c r="F264" s="172">
        <f t="shared" si="52"/>
        <v>127.12241187859124</v>
      </c>
      <c r="G264" s="99">
        <f t="shared" si="53"/>
        <v>2.67</v>
      </c>
      <c r="H264" s="381">
        <f t="shared" si="54"/>
        <v>143.33245781002861</v>
      </c>
      <c r="J264" s="13"/>
      <c r="K264" s="13"/>
      <c r="L264" s="13"/>
      <c r="N264" s="378"/>
    </row>
    <row r="265" spans="1:14" ht="15" x14ac:dyDescent="0.2">
      <c r="A265" s="32">
        <v>2023</v>
      </c>
      <c r="B265" s="33" t="s">
        <v>15</v>
      </c>
      <c r="C265" s="171">
        <f t="shared" si="49"/>
        <v>170.5923364632273</v>
      </c>
      <c r="D265" s="171">
        <f t="shared" si="50"/>
        <v>198.5</v>
      </c>
      <c r="E265" s="171">
        <f t="shared" si="51"/>
        <v>160.83644590774921</v>
      </c>
      <c r="F265" s="171">
        <f t="shared" si="52"/>
        <v>127.1984239149707</v>
      </c>
      <c r="G265" s="98">
        <f t="shared" si="53"/>
        <v>2.67</v>
      </c>
      <c r="H265" s="380">
        <f t="shared" si="54"/>
        <v>144.16930055268119</v>
      </c>
      <c r="J265" s="13"/>
      <c r="K265" s="13"/>
      <c r="L265" s="13"/>
      <c r="N265" s="378"/>
    </row>
    <row r="266" spans="1:14" ht="15" x14ac:dyDescent="0.2">
      <c r="A266" s="32">
        <v>2023</v>
      </c>
      <c r="B266" s="33" t="s">
        <v>16</v>
      </c>
      <c r="C266" s="171">
        <f t="shared" si="49"/>
        <v>170.5923364632273</v>
      </c>
      <c r="D266" s="171">
        <f t="shared" si="50"/>
        <v>198.5</v>
      </c>
      <c r="E266" s="171">
        <f t="shared" si="51"/>
        <v>161.03905383747355</v>
      </c>
      <c r="F266" s="171">
        <f t="shared" si="52"/>
        <v>127.27448140226311</v>
      </c>
      <c r="G266" s="98">
        <f t="shared" si="53"/>
        <v>2.67</v>
      </c>
      <c r="H266" s="380">
        <f t="shared" si="54"/>
        <v>144.19038361498147</v>
      </c>
      <c r="J266" s="13"/>
      <c r="K266" s="13"/>
      <c r="L266" s="13"/>
      <c r="N266" s="378"/>
    </row>
    <row r="267" spans="1:14" ht="15" x14ac:dyDescent="0.2">
      <c r="A267" s="32">
        <v>2023</v>
      </c>
      <c r="B267" s="33" t="s">
        <v>17</v>
      </c>
      <c r="C267" s="171">
        <f t="shared" si="49"/>
        <v>170.5923364632273</v>
      </c>
      <c r="D267" s="171">
        <f t="shared" si="50"/>
        <v>198.5</v>
      </c>
      <c r="E267" s="171">
        <f t="shared" si="51"/>
        <v>161.24191699525241</v>
      </c>
      <c r="F267" s="171">
        <f t="shared" si="52"/>
        <v>127.35058436764552</v>
      </c>
      <c r="G267" s="98">
        <f t="shared" si="53"/>
        <v>2.67</v>
      </c>
      <c r="H267" s="380">
        <f t="shared" si="54"/>
        <v>144.2114885706863</v>
      </c>
      <c r="I267" s="13"/>
      <c r="J267" s="13"/>
      <c r="K267" s="13"/>
      <c r="L267" s="13"/>
      <c r="N267" s="378"/>
    </row>
    <row r="268" spans="1:14" x14ac:dyDescent="0.2">
      <c r="A268" s="343" t="s">
        <v>97</v>
      </c>
      <c r="B268" s="343" t="s">
        <v>98</v>
      </c>
      <c r="C268" s="343"/>
      <c r="D268" s="343"/>
      <c r="E268" s="343"/>
      <c r="F268" s="343"/>
      <c r="G268" s="343"/>
      <c r="H268" s="344"/>
      <c r="I268" s="343"/>
      <c r="J268" s="343"/>
      <c r="K268" s="343"/>
      <c r="L268" s="343"/>
      <c r="M268" s="247"/>
    </row>
    <row r="269" spans="1:14" x14ac:dyDescent="0.2">
      <c r="A269" s="387" t="s">
        <v>114</v>
      </c>
      <c r="B269" s="387" t="s">
        <v>115</v>
      </c>
      <c r="C269" s="387"/>
      <c r="D269" s="387"/>
      <c r="E269" s="387"/>
      <c r="F269" s="387"/>
      <c r="G269" s="387"/>
      <c r="H269" s="388"/>
      <c r="I269" s="385"/>
      <c r="J269" s="385"/>
      <c r="K269" s="383"/>
      <c r="L269" s="386"/>
    </row>
    <row r="270" spans="1:14" x14ac:dyDescent="0.2">
      <c r="A270" s="248" t="s">
        <v>82</v>
      </c>
      <c r="B270" s="383" t="s">
        <v>83</v>
      </c>
      <c r="C270" s="383"/>
      <c r="D270" s="383"/>
      <c r="E270" s="383"/>
      <c r="F270" s="383"/>
      <c r="G270" s="383"/>
      <c r="H270" s="383"/>
      <c r="I270" s="383"/>
      <c r="J270" s="383"/>
      <c r="K270" s="340"/>
      <c r="L270" s="383"/>
    </row>
    <row r="271" spans="1:14" x14ac:dyDescent="0.2">
      <c r="A271" s="268" t="s">
        <v>84</v>
      </c>
      <c r="B271" s="340" t="s">
        <v>85</v>
      </c>
      <c r="C271" s="340"/>
      <c r="D271" s="340"/>
      <c r="E271" s="340"/>
      <c r="F271" s="340"/>
      <c r="G271" s="340"/>
      <c r="H271" s="341"/>
      <c r="I271" s="340"/>
      <c r="J271" s="340"/>
      <c r="K271" s="337"/>
      <c r="L271" s="340"/>
      <c r="M271" s="339"/>
    </row>
    <row r="272" spans="1:14" x14ac:dyDescent="0.2">
      <c r="A272" s="274" t="s">
        <v>87</v>
      </c>
      <c r="B272" s="337" t="s">
        <v>88</v>
      </c>
      <c r="C272" s="337"/>
      <c r="D272" s="337"/>
      <c r="E272" s="337"/>
      <c r="F272" s="337"/>
      <c r="G272" s="337"/>
      <c r="H272" s="338"/>
      <c r="I272" s="337"/>
      <c r="J272" s="337"/>
      <c r="K272" s="335"/>
      <c r="L272" s="337"/>
      <c r="M272" s="342"/>
    </row>
    <row r="273" spans="1:14" x14ac:dyDescent="0.2">
      <c r="A273" s="326" t="s">
        <v>93</v>
      </c>
      <c r="B273" s="335" t="s">
        <v>94</v>
      </c>
      <c r="C273" s="335"/>
      <c r="D273" s="335"/>
      <c r="E273" s="335"/>
      <c r="F273" s="335"/>
      <c r="G273" s="335"/>
      <c r="H273" s="336"/>
      <c r="I273" s="335"/>
      <c r="J273" s="335"/>
      <c r="K273" s="335"/>
      <c r="L273" s="335"/>
      <c r="M273" s="342"/>
    </row>
    <row r="274" spans="1:14" x14ac:dyDescent="0.2">
      <c r="A274" s="327"/>
      <c r="B274" s="335" t="s">
        <v>96</v>
      </c>
      <c r="C274" s="335"/>
      <c r="D274" s="335"/>
      <c r="E274" s="335"/>
      <c r="F274" s="335"/>
      <c r="G274" s="335"/>
      <c r="H274" s="336"/>
      <c r="I274" s="335"/>
      <c r="J274" s="335"/>
      <c r="K274" s="327"/>
      <c r="L274" s="327"/>
      <c r="M274" s="199"/>
      <c r="N274" s="199"/>
    </row>
    <row r="275" spans="1:14" x14ac:dyDescent="0.2">
      <c r="A275" s="326" t="s">
        <v>102</v>
      </c>
      <c r="B275" s="326" t="s">
        <v>103</v>
      </c>
      <c r="C275" s="326"/>
      <c r="D275" s="326"/>
      <c r="E275" s="326"/>
      <c r="F275" s="326"/>
      <c r="G275" s="327"/>
      <c r="H275" s="328"/>
      <c r="I275" s="327"/>
      <c r="J275" s="327"/>
      <c r="K275" s="327"/>
      <c r="L275" s="327"/>
    </row>
    <row r="276" spans="1:14" x14ac:dyDescent="0.2">
      <c r="A276" s="326" t="s">
        <v>107</v>
      </c>
      <c r="B276" s="326" t="s">
        <v>108</v>
      </c>
      <c r="C276" s="326"/>
      <c r="D276" s="326"/>
      <c r="E276" s="326"/>
      <c r="F276" s="326"/>
      <c r="G276" s="327"/>
      <c r="H276" s="328"/>
      <c r="I276" s="327"/>
      <c r="J276" s="327"/>
      <c r="K276" s="327"/>
      <c r="L276" s="327"/>
    </row>
    <row r="277" spans="1:14" x14ac:dyDescent="0.2">
      <c r="A277" s="326"/>
      <c r="B277" s="326" t="s">
        <v>109</v>
      </c>
      <c r="C277" s="326"/>
      <c r="D277" s="326"/>
      <c r="E277" s="326"/>
      <c r="F277" s="326"/>
      <c r="G277" s="327"/>
      <c r="H277" s="328"/>
      <c r="I277" s="327"/>
      <c r="J277" s="327"/>
      <c r="K277" s="327"/>
      <c r="L277" s="327"/>
    </row>
    <row r="278" spans="1:14" ht="44.25" customHeight="1" x14ac:dyDescent="0.2">
      <c r="A278" s="326"/>
      <c r="B278" s="326" t="s">
        <v>110</v>
      </c>
      <c r="C278" s="326"/>
      <c r="D278" s="326"/>
      <c r="E278" s="326"/>
      <c r="F278" s="326"/>
      <c r="G278" s="327"/>
      <c r="H278" s="328"/>
      <c r="I278" s="327"/>
      <c r="J278" s="327"/>
    </row>
    <row r="279" spans="1:14" ht="71.25" customHeight="1" x14ac:dyDescent="0.2">
      <c r="A279" s="382" t="s">
        <v>112</v>
      </c>
      <c r="B279" s="394" t="s">
        <v>116</v>
      </c>
      <c r="C279" s="394"/>
      <c r="D279" s="394"/>
      <c r="E279" s="394"/>
      <c r="F279" s="394"/>
      <c r="G279" s="394"/>
      <c r="H279" s="394"/>
      <c r="I279" s="394"/>
      <c r="J279" s="394"/>
    </row>
    <row r="280" spans="1:14" x14ac:dyDescent="0.2">
      <c r="A280" s="390" t="s">
        <v>121</v>
      </c>
      <c r="B280" s="390" t="s">
        <v>120</v>
      </c>
      <c r="C280" s="390"/>
      <c r="D280" s="390"/>
      <c r="E280" s="390"/>
      <c r="F280" s="390"/>
      <c r="G280" s="390"/>
      <c r="H280" s="390"/>
      <c r="I280" s="390"/>
      <c r="J280" s="390"/>
    </row>
  </sheetData>
  <mergeCells count="1">
    <mergeCell ref="B279:J279"/>
  </mergeCells>
  <phoneticPr fontId="4" type="noConversion"/>
  <pageMargins left="0.74803149606299213" right="0.74803149606299213" top="0.78740157480314965" bottom="0.39370078740157483" header="0" footer="0"/>
  <pageSetup paperSize="9" scale="89" fitToHeight="0" orientation="portrait" r:id="rId1"/>
  <headerFooter alignWithMargins="0">
    <oddHeader>&amp;L&amp;G&amp;R&amp;14
&amp;"Arial,Fed"Gasomkostningsindeks</oddHeader>
    <oddFooter>&amp;L&amp;D&amp;RKontaktinformation: FynBus (HNB/JNB)</oddFooter>
  </headerFooter>
  <rowBreaks count="1" manualBreakCount="1">
    <brk id="255" max="11" man="1"/>
  </rowBreaks>
  <ignoredErrors>
    <ignoredError sqref="F145 E143 C256 E256:F256" formula="1"/>
  </ignoredError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3E5FC-940A-4E3E-ADD6-6846631D9F10}">
  <sheetPr codeName="Ark2"/>
  <dimension ref="A1:H267"/>
  <sheetViews>
    <sheetView topLeftCell="A234" zoomScale="130" zoomScaleNormal="130" workbookViewId="0">
      <selection activeCell="C251" sqref="C251:C252"/>
    </sheetView>
  </sheetViews>
  <sheetFormatPr defaultRowHeight="12.75" x14ac:dyDescent="0.2"/>
  <cols>
    <col min="2" max="2" width="9.5703125" customWidth="1"/>
    <col min="3" max="3" width="13.140625" customWidth="1"/>
    <col min="5" max="5" width="10.140625" customWidth="1"/>
    <col min="6" max="6" width="11.140625" customWidth="1"/>
    <col min="7" max="7" width="11.85546875" bestFit="1" customWidth="1"/>
  </cols>
  <sheetData>
    <row r="1" spans="1:8" ht="18" x14ac:dyDescent="0.25">
      <c r="A1" s="1" t="s">
        <v>21</v>
      </c>
      <c r="C1" s="2"/>
      <c r="G1" s="100" t="s">
        <v>31</v>
      </c>
    </row>
    <row r="2" spans="1:8" x14ac:dyDescent="0.2">
      <c r="C2" s="3"/>
      <c r="D2" s="3"/>
      <c r="E2" s="3"/>
      <c r="F2" s="3"/>
      <c r="G2" s="3"/>
    </row>
    <row r="3" spans="1:8" ht="26.25" thickBot="1" x14ac:dyDescent="0.25">
      <c r="A3" s="2" t="s">
        <v>1</v>
      </c>
      <c r="B3" s="2" t="s">
        <v>2</v>
      </c>
      <c r="C3" s="389" t="s">
        <v>118</v>
      </c>
      <c r="D3" s="2" t="s">
        <v>64</v>
      </c>
      <c r="E3" s="2" t="s">
        <v>4</v>
      </c>
      <c r="F3" s="2" t="s">
        <v>5</v>
      </c>
      <c r="G3" s="2" t="s">
        <v>6</v>
      </c>
      <c r="H3" s="2" t="s">
        <v>20</v>
      </c>
    </row>
    <row r="4" spans="1:8" hidden="1" x14ac:dyDescent="0.2">
      <c r="A4" s="8">
        <v>2005</v>
      </c>
      <c r="B4" s="13" t="s">
        <v>7</v>
      </c>
      <c r="C4" s="130" t="s">
        <v>18</v>
      </c>
      <c r="D4" s="131" t="s">
        <v>18</v>
      </c>
      <c r="E4" s="131" t="s">
        <v>18</v>
      </c>
      <c r="F4" s="131" t="s">
        <v>18</v>
      </c>
      <c r="G4" s="131" t="s">
        <v>18</v>
      </c>
      <c r="H4" s="131" t="s">
        <v>18</v>
      </c>
    </row>
    <row r="5" spans="1:8" hidden="1" x14ac:dyDescent="0.2">
      <c r="A5" s="12">
        <v>2005</v>
      </c>
      <c r="B5" s="13" t="s">
        <v>8</v>
      </c>
      <c r="C5" s="131" t="s">
        <v>18</v>
      </c>
      <c r="D5" s="131" t="s">
        <v>18</v>
      </c>
      <c r="E5" s="131" t="s">
        <v>18</v>
      </c>
      <c r="F5" s="131" t="s">
        <v>18</v>
      </c>
      <c r="G5" s="131" t="s">
        <v>18</v>
      </c>
      <c r="H5" s="131" t="s">
        <v>18</v>
      </c>
    </row>
    <row r="6" spans="1:8" hidden="1" x14ac:dyDescent="0.2">
      <c r="A6" s="16">
        <v>2005</v>
      </c>
      <c r="B6" s="17" t="s">
        <v>9</v>
      </c>
      <c r="C6" s="132" t="s">
        <v>18</v>
      </c>
      <c r="D6" s="132" t="s">
        <v>18</v>
      </c>
      <c r="E6" s="132" t="s">
        <v>18</v>
      </c>
      <c r="F6" s="132" t="s">
        <v>18</v>
      </c>
      <c r="G6" s="132" t="s">
        <v>18</v>
      </c>
      <c r="H6" s="132" t="s">
        <v>18</v>
      </c>
    </row>
    <row r="7" spans="1:8" hidden="1" x14ac:dyDescent="0.2">
      <c r="A7" s="21">
        <v>2005</v>
      </c>
      <c r="B7" s="22" t="s">
        <v>10</v>
      </c>
      <c r="C7" s="133" t="s">
        <v>18</v>
      </c>
      <c r="D7" s="133" t="s">
        <v>18</v>
      </c>
      <c r="E7" s="133" t="s">
        <v>18</v>
      </c>
      <c r="F7" s="133" t="s">
        <v>18</v>
      </c>
      <c r="G7" s="133" t="s">
        <v>18</v>
      </c>
      <c r="H7" s="133" t="s">
        <v>18</v>
      </c>
    </row>
    <row r="8" spans="1:8" hidden="1" x14ac:dyDescent="0.2">
      <c r="A8" s="12">
        <v>2005</v>
      </c>
      <c r="B8" s="13" t="s">
        <v>11</v>
      </c>
      <c r="C8" s="131" t="s">
        <v>18</v>
      </c>
      <c r="D8" s="131" t="s">
        <v>18</v>
      </c>
      <c r="E8" s="131" t="s">
        <v>18</v>
      </c>
      <c r="F8" s="131" t="s">
        <v>18</v>
      </c>
      <c r="G8" s="131" t="s">
        <v>18</v>
      </c>
      <c r="H8" s="131" t="s">
        <v>18</v>
      </c>
    </row>
    <row r="9" spans="1:8" hidden="1" x14ac:dyDescent="0.2">
      <c r="A9" s="16">
        <v>2005</v>
      </c>
      <c r="B9" s="17" t="s">
        <v>12</v>
      </c>
      <c r="C9" s="132" t="s">
        <v>18</v>
      </c>
      <c r="D9" s="132" t="s">
        <v>18</v>
      </c>
      <c r="E9" s="132" t="s">
        <v>18</v>
      </c>
      <c r="F9" s="132" t="s">
        <v>18</v>
      </c>
      <c r="G9" s="132" t="s">
        <v>18</v>
      </c>
      <c r="H9" s="132" t="s">
        <v>18</v>
      </c>
    </row>
    <row r="10" spans="1:8" hidden="1" x14ac:dyDescent="0.2">
      <c r="A10" s="21">
        <v>2005</v>
      </c>
      <c r="B10" s="26" t="s">
        <v>30</v>
      </c>
      <c r="C10" s="85">
        <f>(Indeks!C10/Indeks!$C$40*Indeks!$C$2)/Indeks!H10*100</f>
        <v>0.61188607679281115</v>
      </c>
      <c r="D10" s="85">
        <f>(Indeks!D10/Indeks!$D$40*Indeks!$D$2)/Indeks!H10*100</f>
        <v>0.15465639121680014</v>
      </c>
      <c r="E10" s="85">
        <f>(Indeks!E10/Indeks!$E$40*Indeks!$E$2)/Indeks!H10*100</f>
        <v>8.4612136470404983E-2</v>
      </c>
      <c r="F10" s="85">
        <f>(Indeks!F10/Indeks!$F$40*Indeks!$F$2)/Indeks!H10*100</f>
        <v>0.10203726514736525</v>
      </c>
      <c r="G10" s="85">
        <f>(Indeks!G10/Indeks!$G$40*Indeks!$G$2)/Indeks!H10*100</f>
        <v>4.6808130372618377E-2</v>
      </c>
      <c r="H10" s="85">
        <f t="shared" ref="H10:H39" si="0">SUM(C10:G10)</f>
        <v>0.99999999999999989</v>
      </c>
    </row>
    <row r="11" spans="1:8" hidden="1" x14ac:dyDescent="0.2">
      <c r="A11" s="12">
        <v>2005</v>
      </c>
      <c r="B11" s="13" t="s">
        <v>13</v>
      </c>
      <c r="C11" s="83">
        <f>(Indeks!C11/Indeks!$C$40*Indeks!$C$2)/Indeks!H11*100</f>
        <v>0.60761159635041417</v>
      </c>
      <c r="D11" s="83">
        <f>(Indeks!D11/Indeks!$D$40*Indeks!$D$2)/Indeks!H11*100</f>
        <v>0.16090784761494437</v>
      </c>
      <c r="E11" s="83">
        <f>(Indeks!E11/Indeks!$E$40*Indeks!$E$2)/Indeks!H11*100</f>
        <v>8.4097232643549902E-2</v>
      </c>
      <c r="F11" s="83">
        <f>(Indeks!F11/Indeks!$F$40*Indeks!$F$2)/Indeks!H11*100</f>
        <v>0.10173220307661329</v>
      </c>
      <c r="G11" s="83">
        <f>(Indeks!G11/Indeks!$G$40*Indeks!$G$2)/Indeks!H11*100</f>
        <v>4.5651120314478294E-2</v>
      </c>
      <c r="H11" s="83">
        <f t="shared" si="0"/>
        <v>1</v>
      </c>
    </row>
    <row r="12" spans="1:8" hidden="1" x14ac:dyDescent="0.2">
      <c r="A12" s="16">
        <v>2005</v>
      </c>
      <c r="B12" s="17" t="s">
        <v>14</v>
      </c>
      <c r="C12" s="84">
        <f>(Indeks!C12/Indeks!$C$40*Indeks!$C$2)/Indeks!H12*100</f>
        <v>0.60437377294674866</v>
      </c>
      <c r="D12" s="84">
        <f>(Indeks!D12/Indeks!$D$40*Indeks!$D$2)/Indeks!H12*100</f>
        <v>0.1653897609372251</v>
      </c>
      <c r="E12" s="84">
        <f>(Indeks!E12/Indeks!$E$40*Indeks!$E$2)/Indeks!H12*100</f>
        <v>8.3573328590412277E-2</v>
      </c>
      <c r="F12" s="84">
        <f>(Indeks!F12/Indeks!$F$40*Indeks!$F$2)/Indeks!H12*100</f>
        <v>0.10139288116686443</v>
      </c>
      <c r="G12" s="84">
        <f>(Indeks!G12/Indeks!$G$40*Indeks!$G$2)/Indeks!H12*100</f>
        <v>4.5270256358749601E-2</v>
      </c>
      <c r="H12" s="84">
        <f t="shared" si="0"/>
        <v>1</v>
      </c>
    </row>
    <row r="13" spans="1:8" hidden="1" x14ac:dyDescent="0.2">
      <c r="A13" s="12">
        <v>2005</v>
      </c>
      <c r="B13" s="13" t="s">
        <v>15</v>
      </c>
      <c r="C13" s="85">
        <f>(Indeks!C13/Indeks!$C$40*Indeks!$C$2)/Indeks!H13*100</f>
        <v>0.60589778919035231</v>
      </c>
      <c r="D13" s="85">
        <f>(Indeks!D13/Indeks!$D$40*Indeks!$D$2)/Indeks!H13*100</f>
        <v>0.16433237064909859</v>
      </c>
      <c r="E13" s="85">
        <f>(Indeks!E13/Indeks!$E$40*Indeks!$E$2)/Indeks!H13*100</f>
        <v>8.3367234702559606E-2</v>
      </c>
      <c r="F13" s="85">
        <f>(Indeks!F13/Indeks!$F$40*Indeks!$F$2)/Indeks!H13*100</f>
        <v>0.10124398666704326</v>
      </c>
      <c r="G13" s="85">
        <f>(Indeks!G13/Indeks!$G$40*Indeks!$G$2)/Indeks!H13*100</f>
        <v>4.5158618790946271E-2</v>
      </c>
      <c r="H13" s="85">
        <f t="shared" si="0"/>
        <v>1</v>
      </c>
    </row>
    <row r="14" spans="1:8" hidden="1" x14ac:dyDescent="0.2">
      <c r="A14" s="12">
        <v>2005</v>
      </c>
      <c r="B14" s="13" t="s">
        <v>16</v>
      </c>
      <c r="C14" s="83">
        <f>(Indeks!C14/Indeks!$C$40*Indeks!$C$2)/Indeks!H14*100</f>
        <v>0.60224100698945104</v>
      </c>
      <c r="D14" s="83">
        <f>(Indeks!D14/Indeks!$D$40*Indeks!$D$2)/Indeks!H14*100</f>
        <v>0.16811812389143332</v>
      </c>
      <c r="E14" s="83">
        <f>(Indeks!E14/Indeks!$E$40*Indeks!$E$2)/Indeks!H14*100</f>
        <v>8.3540222323038177E-2</v>
      </c>
      <c r="F14" s="83">
        <f>(Indeks!F14/Indeks!$F$40*Indeks!$F$2)/Indeks!H14*100</f>
        <v>0.1005324152036743</v>
      </c>
      <c r="G14" s="83">
        <f>(Indeks!G14/Indeks!$G$40*Indeks!$G$2)/Indeks!H14*100</f>
        <v>4.5568231592403106E-2</v>
      </c>
      <c r="H14" s="83">
        <f t="shared" si="0"/>
        <v>0.99999999999999989</v>
      </c>
    </row>
    <row r="15" spans="1:8" ht="13.5" hidden="1" thickBot="1" x14ac:dyDescent="0.25">
      <c r="A15" s="38">
        <v>2005</v>
      </c>
      <c r="B15" s="39" t="s">
        <v>17</v>
      </c>
      <c r="C15" s="89">
        <f>(Indeks!C15/Indeks!$C$40*Indeks!$C$2)/Indeks!H15*100</f>
        <v>0.59712542543431646</v>
      </c>
      <c r="D15" s="89">
        <f>(Indeks!D15/Indeks!$D$40*Indeks!$D$2)/Indeks!H15*100</f>
        <v>0.17001876837336624</v>
      </c>
      <c r="E15" s="89">
        <f>(Indeks!E15/Indeks!$E$40*Indeks!$E$2)/Indeks!H15*100</f>
        <v>8.2756123401012002E-2</v>
      </c>
      <c r="F15" s="89">
        <f>(Indeks!F15/Indeks!$F$40*Indeks!$F$2)/Indeks!H15*100</f>
        <v>9.9778146891754807E-2</v>
      </c>
      <c r="G15" s="89">
        <f>(Indeks!G15/Indeks!$G$40*Indeks!$G$2)/Indeks!H15*100</f>
        <v>5.0321535899550553E-2</v>
      </c>
      <c r="H15" s="89">
        <f t="shared" si="0"/>
        <v>1</v>
      </c>
    </row>
    <row r="16" spans="1:8" hidden="1" x14ac:dyDescent="0.2">
      <c r="A16" s="56">
        <v>2006</v>
      </c>
      <c r="B16" s="57" t="s">
        <v>7</v>
      </c>
      <c r="C16" s="83">
        <f>(Indeks!C16/Indeks!$C$40*Indeks!$C$2)/Indeks!H16*100</f>
        <v>0.60394488282288639</v>
      </c>
      <c r="D16" s="83">
        <f>(Indeks!D16/Indeks!$D$40*Indeks!$D$2)/Indeks!H16*100</f>
        <v>0.16173830201757691</v>
      </c>
      <c r="E16" s="83">
        <f>(Indeks!E16/Indeks!$E$40*Indeks!$E$2)/Indeks!H16*100</f>
        <v>8.2815990126871353E-2</v>
      </c>
      <c r="F16" s="83">
        <f>(Indeks!F16/Indeks!$F$40*Indeks!$F$2)/Indeks!H16*100</f>
        <v>9.9920639096926722E-2</v>
      </c>
      <c r="G16" s="83">
        <f>(Indeks!G16/Indeks!$G$40*Indeks!$G$2)/Indeks!H16*100</f>
        <v>5.1580185935738695E-2</v>
      </c>
      <c r="H16" s="83">
        <f t="shared" si="0"/>
        <v>1</v>
      </c>
    </row>
    <row r="17" spans="1:8" hidden="1" x14ac:dyDescent="0.2">
      <c r="A17" s="12">
        <v>2006</v>
      </c>
      <c r="B17" s="13" t="s">
        <v>8</v>
      </c>
      <c r="C17" s="83">
        <f>(Indeks!C17/Indeks!$C$40*Indeks!$C$2)/Indeks!H17*100</f>
        <v>0.60577489209437663</v>
      </c>
      <c r="D17" s="83">
        <f>(Indeks!D17/Indeks!$D$40*Indeks!$D$2)/Indeks!H17*100</f>
        <v>0.16119754453041626</v>
      </c>
      <c r="E17" s="83">
        <f>(Indeks!E17/Indeks!$E$40*Indeks!$E$2)/Indeks!H17*100</f>
        <v>8.3066930293880389E-2</v>
      </c>
      <c r="F17" s="83">
        <f>(Indeks!F17/Indeks!$F$40*Indeks!$F$2)/Indeks!H17*100</f>
        <v>9.9721789285774035E-2</v>
      </c>
      <c r="G17" s="83">
        <f>(Indeks!G17/Indeks!$G$40*Indeks!$G$2)/Indeks!H17*100</f>
        <v>5.0238843795552567E-2</v>
      </c>
      <c r="H17" s="83">
        <f t="shared" si="0"/>
        <v>0.99999999999999978</v>
      </c>
    </row>
    <row r="18" spans="1:8" hidden="1" x14ac:dyDescent="0.2">
      <c r="A18" s="16">
        <v>2006</v>
      </c>
      <c r="B18" s="17" t="s">
        <v>9</v>
      </c>
      <c r="C18" s="84">
        <f>(Indeks!C18/Indeks!$C$40*Indeks!$C$2)/Indeks!H18*100</f>
        <v>0.60476960711114647</v>
      </c>
      <c r="D18" s="84">
        <f>(Indeks!D18/Indeks!$D$40*Indeks!$D$2)/Indeks!H18*100</f>
        <v>0.16221644795827478</v>
      </c>
      <c r="E18" s="84">
        <f>(Indeks!E18/Indeks!$E$40*Indeks!$E$2)/Indeks!H18*100</f>
        <v>8.2629697548409389E-2</v>
      </c>
      <c r="F18" s="84">
        <f>(Indeks!F18/Indeks!$F$40*Indeks!$F$2)/Indeks!H18*100</f>
        <v>9.9956929698074348E-2</v>
      </c>
      <c r="G18" s="84">
        <f>(Indeks!G18/Indeks!$G$40*Indeks!$G$2)/Indeks!H18*100</f>
        <v>5.0427317684094954E-2</v>
      </c>
      <c r="H18" s="84">
        <f t="shared" si="0"/>
        <v>0.99999999999999989</v>
      </c>
    </row>
    <row r="19" spans="1:8" hidden="1" x14ac:dyDescent="0.2">
      <c r="A19" s="21">
        <v>2006</v>
      </c>
      <c r="B19" s="22" t="s">
        <v>10</v>
      </c>
      <c r="C19" s="85">
        <f>(Indeks!C19/Indeks!$C$40*Indeks!$C$2)/Indeks!H19*100</f>
        <v>0.60565174143485312</v>
      </c>
      <c r="D19" s="85">
        <f>(Indeks!D19/Indeks!$D$40*Indeks!$D$2)/Indeks!H19*100</f>
        <v>0.16105234848145211</v>
      </c>
      <c r="E19" s="85">
        <f>(Indeks!E19/Indeks!$E$40*Indeks!$E$2)/Indeks!H19*100</f>
        <v>8.291988158467839E-2</v>
      </c>
      <c r="F19" s="85">
        <f>(Indeks!F19/Indeks!$F$40*Indeks!$F$2)/Indeks!H19*100</f>
        <v>9.8920309613118471E-2</v>
      </c>
      <c r="G19" s="85">
        <f>(Indeks!G19/Indeks!$G$40*Indeks!$G$2)/Indeks!H19*100</f>
        <v>5.1455718885897915E-2</v>
      </c>
      <c r="H19" s="85">
        <f t="shared" si="0"/>
        <v>1</v>
      </c>
    </row>
    <row r="20" spans="1:8" hidden="1" x14ac:dyDescent="0.2">
      <c r="A20" s="12">
        <v>2006</v>
      </c>
      <c r="B20" s="13" t="s">
        <v>11</v>
      </c>
      <c r="C20" s="83">
        <f>(Indeks!C20/Indeks!$C$40*Indeks!$C$2)/Indeks!H20*100</f>
        <v>0.60271032763559296</v>
      </c>
      <c r="D20" s="83">
        <f>(Indeks!D20/Indeks!$D$40*Indeks!$D$2)/Indeks!H20*100</f>
        <v>0.16217815850485515</v>
      </c>
      <c r="E20" s="83">
        <f>(Indeks!E20/Indeks!$E$40*Indeks!$E$2)/Indeks!H20*100</f>
        <v>8.2813197857281334E-2</v>
      </c>
      <c r="F20" s="83">
        <f>(Indeks!F20/Indeks!$F$40*Indeks!$F$2)/Indeks!H20*100</f>
        <v>9.8538926427594084E-2</v>
      </c>
      <c r="G20" s="83">
        <f>(Indeks!G20/Indeks!$G$40*Indeks!$G$2)/Indeks!H20*100</f>
        <v>5.3759389574676374E-2</v>
      </c>
      <c r="H20" s="83">
        <f t="shared" si="0"/>
        <v>1</v>
      </c>
    </row>
    <row r="21" spans="1:8" hidden="1" x14ac:dyDescent="0.2">
      <c r="A21" s="16">
        <v>2006</v>
      </c>
      <c r="B21" s="17" t="s">
        <v>12</v>
      </c>
      <c r="C21" s="84">
        <f>(Indeks!C21/Indeks!$C$40*Indeks!$C$2)/Indeks!H21*100</f>
        <v>0.6004293218563298</v>
      </c>
      <c r="D21" s="84">
        <f>(Indeks!D21/Indeks!$D$40*Indeks!$D$2)/Indeks!H21*100</f>
        <v>0.16333842247677172</v>
      </c>
      <c r="E21" s="84">
        <f>(Indeks!E21/Indeks!$E$40*Indeks!$E$2)/Indeks!H21*100</f>
        <v>8.286841638542243E-2</v>
      </c>
      <c r="F21" s="84">
        <f>(Indeks!F21/Indeks!$F$40*Indeks!$F$2)/Indeks!H21*100</f>
        <v>9.8067338629474907E-2</v>
      </c>
      <c r="G21" s="84">
        <f>(Indeks!G21/Indeks!$G$40*Indeks!$G$2)/Indeks!H21*100</f>
        <v>5.5296500652001347E-2</v>
      </c>
      <c r="H21" s="84">
        <f t="shared" si="0"/>
        <v>1.0000000000000002</v>
      </c>
    </row>
    <row r="22" spans="1:8" hidden="1" x14ac:dyDescent="0.2">
      <c r="A22" s="21">
        <v>2006</v>
      </c>
      <c r="B22" s="26" t="s">
        <v>30</v>
      </c>
      <c r="C22" s="85">
        <f>(Indeks!C22/Indeks!$C$40*Indeks!$C$2)/Indeks!H22*100</f>
        <v>0.60178874865918519</v>
      </c>
      <c r="D22" s="85">
        <f>(Indeks!D22/Indeks!$D$40*Indeks!$D$2)/Indeks!H22*100</f>
        <v>0.16419971290900576</v>
      </c>
      <c r="E22" s="85">
        <f>(Indeks!E22/Indeks!$E$40*Indeks!$E$2)/Indeks!H22*100</f>
        <v>8.2483634476023249E-2</v>
      </c>
      <c r="F22" s="85">
        <f>(Indeks!F22/Indeks!$F$40*Indeks!$F$2)/Indeks!H22*100</f>
        <v>9.6936534135910579E-2</v>
      </c>
      <c r="G22" s="85">
        <f>(Indeks!G22/Indeks!$G$40*Indeks!$G$2)/Indeks!H22*100</f>
        <v>5.4591369819875349E-2</v>
      </c>
      <c r="H22" s="85">
        <f t="shared" si="0"/>
        <v>1.0000000000000002</v>
      </c>
    </row>
    <row r="23" spans="1:8" hidden="1" x14ac:dyDescent="0.2">
      <c r="A23" s="12">
        <v>2006</v>
      </c>
      <c r="B23" s="13" t="s">
        <v>13</v>
      </c>
      <c r="C23" s="83">
        <f>(Indeks!C23/Indeks!$C$40*Indeks!$C$2)/Indeks!H23*100</f>
        <v>0.60124781101898783</v>
      </c>
      <c r="D23" s="83">
        <f>(Indeks!D23/Indeks!$D$40*Indeks!$D$2)/Indeks!H23*100</f>
        <v>0.16405211658817065</v>
      </c>
      <c r="E23" s="83">
        <f>(Indeks!E23/Indeks!$E$40*Indeks!$E$2)/Indeks!H23*100</f>
        <v>8.2629249987673292E-2</v>
      </c>
      <c r="F23" s="83">
        <f>(Indeks!F23/Indeks!$F$40*Indeks!$F$2)/Indeks!H23*100</f>
        <v>9.6065193874741939E-2</v>
      </c>
      <c r="G23" s="83">
        <f>(Indeks!G23/Indeks!$G$40*Indeks!$G$2)/Indeks!H23*100</f>
        <v>5.6005628530426316E-2</v>
      </c>
      <c r="H23" s="83">
        <f t="shared" si="0"/>
        <v>1</v>
      </c>
    </row>
    <row r="24" spans="1:8" hidden="1" x14ac:dyDescent="0.2">
      <c r="A24" s="16">
        <v>2006</v>
      </c>
      <c r="B24" s="17" t="s">
        <v>14</v>
      </c>
      <c r="C24" s="84">
        <f>(Indeks!C24/Indeks!$C$40*Indeks!$C$2)/Indeks!H24*100</f>
        <v>0.6009219316539961</v>
      </c>
      <c r="D24" s="84">
        <f>(Indeks!D24/Indeks!$D$40*Indeks!$D$2)/Indeks!H24*100</f>
        <v>0.16509571585188784</v>
      </c>
      <c r="E24" s="84">
        <f>(Indeks!E24/Indeks!$E$40*Indeks!$E$2)/Indeks!H24*100</f>
        <v>8.2364824981540491E-2</v>
      </c>
      <c r="F24" s="84">
        <f>(Indeks!F24/Indeks!$F$40*Indeks!$F$2)/Indeks!H24*100</f>
        <v>9.6307043784929686E-2</v>
      </c>
      <c r="G24" s="84">
        <f>(Indeks!G24/Indeks!$G$40*Indeks!$G$2)/Indeks!H24*100</f>
        <v>5.5310483727645812E-2</v>
      </c>
      <c r="H24" s="84">
        <f t="shared" si="0"/>
        <v>1</v>
      </c>
    </row>
    <row r="25" spans="1:8" hidden="1" x14ac:dyDescent="0.2">
      <c r="A25" s="12">
        <v>2006</v>
      </c>
      <c r="B25" s="13" t="s">
        <v>15</v>
      </c>
      <c r="C25" s="85">
        <f>(Indeks!C25/Indeks!$C$40*Indeks!$C$2)/Indeks!H25*100</f>
        <v>0.60088378917885732</v>
      </c>
      <c r="D25" s="85">
        <f>(Indeks!D25/Indeks!$D$40*Indeks!$D$2)/Indeks!H25*100</f>
        <v>0.16718280096156343</v>
      </c>
      <c r="E25" s="85">
        <f>(Indeks!E25/Indeks!$E$40*Indeks!$E$2)/Indeks!H25*100</f>
        <v>8.1724228863008799E-2</v>
      </c>
      <c r="F25" s="85">
        <f>(Indeks!F25/Indeks!$F$40*Indeks!$F$2)/Indeks!H25*100</f>
        <v>9.5460800843165008E-2</v>
      </c>
      <c r="G25" s="85">
        <f>(Indeks!G25/Indeks!$G$40*Indeks!$G$2)/Indeks!H25*100</f>
        <v>5.4748380153405593E-2</v>
      </c>
      <c r="H25" s="85">
        <f t="shared" si="0"/>
        <v>1.0000000000000002</v>
      </c>
    </row>
    <row r="26" spans="1:8" hidden="1" x14ac:dyDescent="0.2">
      <c r="A26" s="12">
        <v>2006</v>
      </c>
      <c r="B26" s="13" t="s">
        <v>16</v>
      </c>
      <c r="C26" s="83">
        <f>(Indeks!C26/Indeks!$C$40*Indeks!$C$2)/Indeks!H26*100</f>
        <v>0.60517892342156232</v>
      </c>
      <c r="D26" s="83">
        <f>(Indeks!D26/Indeks!$D$40*Indeks!$D$2)/Indeks!H26*100</f>
        <v>0.16146163672551864</v>
      </c>
      <c r="E26" s="83">
        <f>(Indeks!E26/Indeks!$E$40*Indeks!$E$2)/Indeks!H26*100</f>
        <v>8.2601048026331586E-2</v>
      </c>
      <c r="F26" s="83">
        <f>(Indeks!F26/Indeks!$F$40*Indeks!$F$2)/Indeks!H26*100</f>
        <v>9.5751535513114952E-2</v>
      </c>
      <c r="G26" s="83">
        <f>(Indeks!G26/Indeks!$G$40*Indeks!$G$2)/Indeks!H26*100</f>
        <v>5.5006856313472401E-2</v>
      </c>
      <c r="H26" s="83">
        <f t="shared" si="0"/>
        <v>0.99999999999999989</v>
      </c>
    </row>
    <row r="27" spans="1:8" ht="13.5" hidden="1" thickBot="1" x14ac:dyDescent="0.25">
      <c r="A27" s="38">
        <v>2006</v>
      </c>
      <c r="B27" s="39" t="s">
        <v>17</v>
      </c>
      <c r="C27" s="89">
        <f>(Indeks!C27/Indeks!$C$40*Indeks!$C$2)/Indeks!H27*100</f>
        <v>0.60699010960025568</v>
      </c>
      <c r="D27" s="89">
        <f>(Indeks!D27/Indeks!$D$40*Indeks!$D$2)/Indeks!H27*100</f>
        <v>0.1565214738124156</v>
      </c>
      <c r="E27" s="89">
        <f>(Indeks!E27/Indeks!$E$40*Indeks!$E$2)/Indeks!H27*100</f>
        <v>8.2774875375180648E-2</v>
      </c>
      <c r="F27" s="89">
        <f>(Indeks!F27/Indeks!$F$40*Indeks!$F$2)/Indeks!H27*100</f>
        <v>9.57435063639515E-2</v>
      </c>
      <c r="G27" s="89">
        <f>(Indeks!G27/Indeks!$G$40*Indeks!$G$2)/Indeks!H27*100</f>
        <v>5.7970034848196753E-2</v>
      </c>
      <c r="H27" s="89">
        <f t="shared" si="0"/>
        <v>1.0000000000000002</v>
      </c>
    </row>
    <row r="28" spans="1:8" hidden="1" x14ac:dyDescent="0.2">
      <c r="A28" s="56">
        <v>2007</v>
      </c>
      <c r="B28" s="57" t="s">
        <v>7</v>
      </c>
      <c r="C28" s="83">
        <f>(Indeks!C28/Indeks!$C$40*Indeks!$C$2)/Indeks!H28*100</f>
        <v>0.60940856382284836</v>
      </c>
      <c r="D28" s="83">
        <f>(Indeks!D28/Indeks!$D$40*Indeks!$D$2)/Indeks!H28*100</f>
        <v>0.15558833836690872</v>
      </c>
      <c r="E28" s="83">
        <f>(Indeks!E28/Indeks!$E$40*Indeks!$E$2)/Indeks!H28*100</f>
        <v>8.2474282867115403E-2</v>
      </c>
      <c r="F28" s="83">
        <f>(Indeks!F28/Indeks!$F$40*Indeks!$F$2)/Indeks!H28*100</f>
        <v>9.5382536090224471E-2</v>
      </c>
      <c r="G28" s="83">
        <f>(Indeks!G28/Indeks!$G$40*Indeks!$G$2)/Indeks!H28*100</f>
        <v>5.714627885290282E-2</v>
      </c>
      <c r="H28" s="83">
        <f t="shared" si="0"/>
        <v>0.99999999999999989</v>
      </c>
    </row>
    <row r="29" spans="1:8" hidden="1" x14ac:dyDescent="0.2">
      <c r="A29" s="12">
        <v>2007</v>
      </c>
      <c r="B29" s="13" t="s">
        <v>8</v>
      </c>
      <c r="C29" s="83">
        <f>(Indeks!C29/Indeks!$C$40*Indeks!$C$2)/Indeks!H29*100</f>
        <v>0.60913770868189332</v>
      </c>
      <c r="D29" s="83">
        <f>(Indeks!D29/Indeks!$D$40*Indeks!$D$2)/Indeks!H29*100</f>
        <v>0.15476484903430182</v>
      </c>
      <c r="E29" s="83">
        <f>(Indeks!E29/Indeks!$E$40*Indeks!$E$2)/Indeks!H29*100</f>
        <v>8.2510774547554219E-2</v>
      </c>
      <c r="F29" s="83">
        <f>(Indeks!F29/Indeks!$F$40*Indeks!$F$2)/Indeks!H29*100</f>
        <v>9.5535913087208824E-2</v>
      </c>
      <c r="G29" s="83">
        <f>(Indeks!G29/Indeks!$G$40*Indeks!$G$2)/Indeks!H29*100</f>
        <v>5.8050754649041809E-2</v>
      </c>
      <c r="H29" s="83">
        <f t="shared" si="0"/>
        <v>1</v>
      </c>
    </row>
    <row r="30" spans="1:8" hidden="1" x14ac:dyDescent="0.2">
      <c r="A30" s="16">
        <v>2007</v>
      </c>
      <c r="B30" s="17" t="s">
        <v>9</v>
      </c>
      <c r="C30" s="84">
        <f>(Indeks!C30/Indeks!$C$40*Indeks!$C$2)/Indeks!H30*100</f>
        <v>0.61194447432116739</v>
      </c>
      <c r="D30" s="84">
        <f>(Indeks!D30/Indeks!$D$40*Indeks!$D$2)/Indeks!H30*100</f>
        <v>0.14966806989460815</v>
      </c>
      <c r="E30" s="84">
        <f>(Indeks!E30/Indeks!$E$40*Indeks!$E$2)/Indeks!H30*100</f>
        <v>8.259702551544712E-2</v>
      </c>
      <c r="F30" s="84">
        <f>(Indeks!F30/Indeks!$F$40*Indeks!$F$2)/Indeks!H30*100</f>
        <v>9.6271129039771058E-2</v>
      </c>
      <c r="G30" s="84">
        <f>(Indeks!G30/Indeks!$G$40*Indeks!$G$2)/Indeks!H30*100</f>
        <v>5.9519301229006179E-2</v>
      </c>
      <c r="H30" s="84">
        <f t="shared" si="0"/>
        <v>0.99999999999999989</v>
      </c>
    </row>
    <row r="31" spans="1:8" hidden="1" x14ac:dyDescent="0.2">
      <c r="A31" s="12">
        <v>2007</v>
      </c>
      <c r="B31" s="13" t="s">
        <v>10</v>
      </c>
      <c r="C31" s="85">
        <f>(Indeks!C31/Indeks!$C$40*Indeks!$C$2)/Indeks!H31*100</f>
        <v>0.61053038347005051</v>
      </c>
      <c r="D31" s="85">
        <f>(Indeks!D31/Indeks!$D$40*Indeks!$D$2)/Indeks!H31*100</f>
        <v>0.15266848830628221</v>
      </c>
      <c r="E31" s="85">
        <f>(Indeks!E31/Indeks!$E$40*Indeks!$E$2)/Indeks!H31*100</f>
        <v>8.2574094434012341E-2</v>
      </c>
      <c r="F31" s="85">
        <f>(Indeks!F31/Indeks!$F$40*Indeks!$F$2)/Indeks!H31*100</f>
        <v>9.5616817113506919E-2</v>
      </c>
      <c r="G31" s="85">
        <f>(Indeks!G31/Indeks!$G$40*Indeks!$G$2)/Indeks!H31*100</f>
        <v>5.8610216676147985E-2</v>
      </c>
      <c r="H31" s="85">
        <f t="shared" si="0"/>
        <v>0.99999999999999989</v>
      </c>
    </row>
    <row r="32" spans="1:8" hidden="1" x14ac:dyDescent="0.2">
      <c r="A32" s="12">
        <v>2007</v>
      </c>
      <c r="B32" s="13" t="s">
        <v>11</v>
      </c>
      <c r="C32" s="83">
        <f>(Indeks!C32/Indeks!$C$40*Indeks!$C$2)/Indeks!H32*100</f>
        <v>0.60940360594731779</v>
      </c>
      <c r="D32" s="83">
        <f>(Indeks!D32/Indeks!$D$40*Indeks!$D$2)/Indeks!H32*100</f>
        <v>0.15363375491498699</v>
      </c>
      <c r="E32" s="83">
        <f>(Indeks!E32/Indeks!$E$40*Indeks!$E$2)/Indeks!H32*100</f>
        <v>8.2784469590554965E-2</v>
      </c>
      <c r="F32" s="83">
        <f>(Indeks!F32/Indeks!$F$40*Indeks!$F$2)/Indeks!H32*100</f>
        <v>9.5149076749615119E-2</v>
      </c>
      <c r="G32" s="83">
        <f>(Indeks!G32/Indeks!$G$40*Indeks!$G$2)/Indeks!H32*100</f>
        <v>5.902909279752503E-2</v>
      </c>
      <c r="H32" s="83">
        <f t="shared" si="0"/>
        <v>0.99999999999999989</v>
      </c>
    </row>
    <row r="33" spans="1:8" hidden="1" x14ac:dyDescent="0.2">
      <c r="A33" s="16">
        <v>2007</v>
      </c>
      <c r="B33" s="17" t="s">
        <v>12</v>
      </c>
      <c r="C33" s="84">
        <f>(Indeks!C33/Indeks!$C$40*Indeks!$C$2)/Indeks!H33*100</f>
        <v>0.60711499271718061</v>
      </c>
      <c r="D33" s="84">
        <f>(Indeks!D33/Indeks!$D$40*Indeks!$D$2)/Indeks!H33*100</f>
        <v>0.15541723750276298</v>
      </c>
      <c r="E33" s="84">
        <f>(Indeks!E33/Indeks!$E$40*Indeks!$E$2)/Indeks!H33*100</f>
        <v>8.2618136456668254E-2</v>
      </c>
      <c r="F33" s="84">
        <f>(Indeks!F33/Indeks!$F$40*Indeks!$F$2)/Indeks!H33*100</f>
        <v>9.4598292165808326E-2</v>
      </c>
      <c r="G33" s="84">
        <f>(Indeks!G33/Indeks!$G$40*Indeks!$G$2)/Indeks!H33*100</f>
        <v>6.02513411575799E-2</v>
      </c>
      <c r="H33" s="84">
        <f t="shared" si="0"/>
        <v>1</v>
      </c>
    </row>
    <row r="34" spans="1:8" hidden="1" x14ac:dyDescent="0.2">
      <c r="A34" s="12">
        <v>2007</v>
      </c>
      <c r="B34" s="86" t="s">
        <v>30</v>
      </c>
      <c r="C34" s="83">
        <f>(Indeks!C34/Indeks!$C$40*Indeks!$C$2)/Indeks!H34*100</f>
        <v>0.6081933547578543</v>
      </c>
      <c r="D34" s="83">
        <f>(Indeks!D34/Indeks!$D$40*Indeks!$D$2)/Indeks!H34*100</f>
        <v>0.15385877852387919</v>
      </c>
      <c r="E34" s="83">
        <f>(Indeks!E34/Indeks!$E$40*Indeks!$E$2)/Indeks!H34*100</f>
        <v>8.2129744247012443E-2</v>
      </c>
      <c r="F34" s="83">
        <f>(Indeks!F34/Indeks!$F$40*Indeks!$F$2)/Indeks!H34*100</f>
        <v>9.3682846528918257E-2</v>
      </c>
      <c r="G34" s="83">
        <f>(Indeks!G34/Indeks!$G$40*Indeks!$G$2)/Indeks!H34*100</f>
        <v>6.2135275942335824E-2</v>
      </c>
      <c r="H34" s="83">
        <f t="shared" si="0"/>
        <v>1</v>
      </c>
    </row>
    <row r="35" spans="1:8" hidden="1" x14ac:dyDescent="0.2">
      <c r="A35" s="12">
        <v>2007</v>
      </c>
      <c r="B35" s="13" t="s">
        <v>13</v>
      </c>
      <c r="C35" s="83">
        <f>(Indeks!C35/Indeks!$C$40*Indeks!$C$2)/Indeks!H35*100</f>
        <v>0.60504475774328026</v>
      </c>
      <c r="D35" s="83">
        <f>(Indeks!D35/Indeks!$D$40*Indeks!$D$2)/Indeks!H35*100</f>
        <v>0.15649634577493732</v>
      </c>
      <c r="E35" s="83">
        <f>(Indeks!E35/Indeks!$E$40*Indeks!$E$2)/Indeks!H35*100</f>
        <v>8.163320356410525E-2</v>
      </c>
      <c r="F35" s="83">
        <f>(Indeks!F35/Indeks!$F$40*Indeks!$F$2)/Indeks!H35*100</f>
        <v>9.3197853510513462E-2</v>
      </c>
      <c r="G35" s="83">
        <f>(Indeks!G35/Indeks!$G$40*Indeks!$G$2)/Indeks!H35*100</f>
        <v>6.362783940716385E-2</v>
      </c>
      <c r="H35" s="83">
        <f t="shared" si="0"/>
        <v>1</v>
      </c>
    </row>
    <row r="36" spans="1:8" hidden="1" x14ac:dyDescent="0.2">
      <c r="A36" s="16">
        <v>2007</v>
      </c>
      <c r="B36" s="17" t="s">
        <v>14</v>
      </c>
      <c r="C36" s="84">
        <f>(Indeks!C36/Indeks!$C$40*Indeks!$C$2)/Indeks!H36*100</f>
        <v>0.60515424145306584</v>
      </c>
      <c r="D36" s="84">
        <f>(Indeks!D36/Indeks!$D$40*Indeks!$D$2)/Indeks!H36*100</f>
        <v>0.15799668279517801</v>
      </c>
      <c r="E36" s="84">
        <f>(Indeks!E36/Indeks!$E$40*Indeks!$E$2)/Indeks!H36*100</f>
        <v>8.1291122169941402E-2</v>
      </c>
      <c r="F36" s="84">
        <f>(Indeks!F36/Indeks!$F$40*Indeks!$F$2)/Indeks!H36*100</f>
        <v>9.32147177947103E-2</v>
      </c>
      <c r="G36" s="84">
        <f>(Indeks!G36/Indeks!$G$40*Indeks!$G$2)/Indeks!H36*100</f>
        <v>6.2343235787104677E-2</v>
      </c>
      <c r="H36" s="84">
        <f t="shared" si="0"/>
        <v>1.0000000000000002</v>
      </c>
    </row>
    <row r="37" spans="1:8" hidden="1" x14ac:dyDescent="0.2">
      <c r="A37" s="12">
        <v>2007</v>
      </c>
      <c r="B37" s="13" t="s">
        <v>15</v>
      </c>
      <c r="C37" s="83">
        <f>(Indeks!C37/Indeks!$C$40*Indeks!$C$2)/Indeks!H37*100</f>
        <v>0.60854985000501993</v>
      </c>
      <c r="D37" s="83">
        <f>(Indeks!D37/Indeks!$D$40*Indeks!$D$2)/Indeks!H37*100</f>
        <v>0.15613380869231785</v>
      </c>
      <c r="E37" s="83">
        <f>(Indeks!E37/Indeks!$E$40*Indeks!$E$2)/Indeks!H37*100</f>
        <v>8.0692791128711541E-2</v>
      </c>
      <c r="F37" s="83">
        <f>(Indeks!F37/Indeks!$F$40*Indeks!$F$2)/Indeks!H37*100</f>
        <v>9.2501442800379863E-2</v>
      </c>
      <c r="G37" s="83">
        <f>(Indeks!G37/Indeks!$G$40*Indeks!$G$2)/Indeks!H37*100</f>
        <v>6.2122107373570809E-2</v>
      </c>
      <c r="H37" s="83">
        <f t="shared" si="0"/>
        <v>1</v>
      </c>
    </row>
    <row r="38" spans="1:8" hidden="1" x14ac:dyDescent="0.2">
      <c r="A38" s="12">
        <v>2007</v>
      </c>
      <c r="B38" s="13" t="s">
        <v>16</v>
      </c>
      <c r="C38" s="83">
        <f>(Indeks!C38/Indeks!$C$40*Indeks!$C$2)/Indeks!H38*100</f>
        <v>0.606139213087725</v>
      </c>
      <c r="D38" s="83">
        <f>(Indeks!D38/Indeks!$D$40*Indeks!$D$2)/Indeks!H38*100</f>
        <v>0.15879572006924017</v>
      </c>
      <c r="E38" s="83">
        <f>(Indeks!E38/Indeks!$E$40*Indeks!$E$2)/Indeks!H38*100</f>
        <v>8.0797277001495832E-2</v>
      </c>
      <c r="F38" s="83">
        <f>(Indeks!F38/Indeks!$F$40*Indeks!$F$2)/Indeks!H38*100</f>
        <v>9.2135018598786853E-2</v>
      </c>
      <c r="G38" s="83">
        <f>(Indeks!G38/Indeks!$G$40*Indeks!$G$2)/Indeks!H38*100</f>
        <v>6.2132771242752176E-2</v>
      </c>
      <c r="H38" s="83">
        <f t="shared" si="0"/>
        <v>1</v>
      </c>
    </row>
    <row r="39" spans="1:8" ht="13.5" hidden="1" thickBot="1" x14ac:dyDescent="0.25">
      <c r="A39" s="38">
        <v>2007</v>
      </c>
      <c r="B39" s="39" t="s">
        <v>17</v>
      </c>
      <c r="C39" s="89">
        <f>(Indeks!C39/Indeks!$C$40*Indeks!$C$2)/Indeks!H39*100</f>
        <v>0.60550614902089706</v>
      </c>
      <c r="D39" s="89">
        <f>(Indeks!D39/Indeks!$D$40*Indeks!$D$2)/Indeks!H39*100</f>
        <v>0.15935808730150972</v>
      </c>
      <c r="E39" s="89">
        <f>(Indeks!E39/Indeks!$E$40*Indeks!$E$2)/Indeks!H39*100</f>
        <v>8.0995350499406107E-2</v>
      </c>
      <c r="F39" s="89">
        <f>(Indeks!F39/Indeks!$F$40*Indeks!$F$2)/Indeks!H39*100</f>
        <v>9.1944295241314908E-2</v>
      </c>
      <c r="G39" s="89">
        <f>(Indeks!G39/Indeks!$G$40*Indeks!$G$2)/Indeks!H39*100</f>
        <v>6.2196117936872256E-2</v>
      </c>
      <c r="H39" s="89">
        <f t="shared" si="0"/>
        <v>1</v>
      </c>
    </row>
    <row r="40" spans="1:8" s="2" customFormat="1" ht="14.1" hidden="1" customHeight="1" x14ac:dyDescent="0.2">
      <c r="A40" s="8">
        <v>2008</v>
      </c>
      <c r="B40" s="8" t="s">
        <v>7</v>
      </c>
      <c r="C40" s="90">
        <f>(Indeks!C40/Indeks!$C$40*Indeks!$C$2)/Indeks!H40*100</f>
        <v>0.6</v>
      </c>
      <c r="D40" s="90">
        <f>(Indeks!D40/Indeks!$D$40*Indeks!$D$2)/Indeks!H40*100</f>
        <v>0.17</v>
      </c>
      <c r="E40" s="90">
        <f>(Indeks!E40/Indeks!$E$40*Indeks!$E$2)/Indeks!H40*100</f>
        <v>0.08</v>
      </c>
      <c r="F40" s="90">
        <f>(Indeks!F40/Indeks!$F$40*Indeks!$F$2)/Indeks!H40*100</f>
        <v>0.09</v>
      </c>
      <c r="G40" s="90">
        <f>(Indeks!G40/Indeks!$G$40*Indeks!$G$2)/Indeks!H40*100</f>
        <v>0.06</v>
      </c>
      <c r="H40" s="90">
        <f>SUM(C40:G40)</f>
        <v>1</v>
      </c>
    </row>
    <row r="41" spans="1:8" ht="14.1" hidden="1" customHeight="1" x14ac:dyDescent="0.2">
      <c r="A41" s="12">
        <f>A40</f>
        <v>2008</v>
      </c>
      <c r="B41" s="13" t="s">
        <v>8</v>
      </c>
      <c r="C41" s="83">
        <f>(Indeks!C41/Indeks!$C$40*Indeks!$C$2)/Indeks!H41*100</f>
        <v>0.6037222692680847</v>
      </c>
      <c r="D41" s="83">
        <f>(Indeks!D41/Indeks!$D$40*Indeks!$D$2)/Indeks!H41*100</f>
        <v>0.16326854226436496</v>
      </c>
      <c r="E41" s="83">
        <f>(Indeks!E41/Indeks!$E$40*Indeks!$E$2)/Indeks!H41*100</f>
        <v>8.0426608800619886E-2</v>
      </c>
      <c r="F41" s="83">
        <f>(Indeks!F41/Indeks!$F$40*Indeks!$F$2)/Indeks!H41*100</f>
        <v>9.0185288524547561E-2</v>
      </c>
      <c r="G41" s="83">
        <f>(Indeks!G41/Indeks!$G$40*Indeks!$G$2)/Indeks!H41*100</f>
        <v>6.2397291142382759E-2</v>
      </c>
      <c r="H41" s="83">
        <f>SUM(C41:G41)</f>
        <v>0.99999999999999989</v>
      </c>
    </row>
    <row r="42" spans="1:8" ht="14.1" hidden="1" customHeight="1" x14ac:dyDescent="0.2">
      <c r="A42" s="16">
        <f t="shared" ref="A42:A51" si="1">A41</f>
        <v>2008</v>
      </c>
      <c r="B42" s="17" t="s">
        <v>9</v>
      </c>
      <c r="C42" s="84">
        <f>(Indeks!C42/Indeks!$C$40*Indeks!$C$2)/Indeks!H42*100</f>
        <v>0.60286809743575787</v>
      </c>
      <c r="D42" s="84">
        <f>(Indeks!D42/Indeks!$D$40*Indeks!$D$2)/Indeks!H42*100</f>
        <v>0.16770259377081992</v>
      </c>
      <c r="E42" s="84">
        <f>(Indeks!E42/Indeks!$E$40*Indeks!$E$2)/Indeks!H42*100</f>
        <v>8.0521603316960677E-2</v>
      </c>
      <c r="F42" s="84">
        <f>(Indeks!F42/Indeks!$F$40*Indeks!$F$2)/Indeks!H42*100</f>
        <v>9.0895869685473668E-2</v>
      </c>
      <c r="G42" s="84">
        <f>(Indeks!G42/Indeks!$G$40*Indeks!$G$2)/Indeks!H42*100</f>
        <v>5.8011835790988016E-2</v>
      </c>
      <c r="H42" s="84">
        <f t="shared" ref="H42:H51" si="2">SUM(C42:G42)</f>
        <v>1.0000000000000002</v>
      </c>
    </row>
    <row r="43" spans="1:8" ht="14.1" hidden="1" customHeight="1" x14ac:dyDescent="0.2">
      <c r="A43" s="21">
        <f t="shared" si="1"/>
        <v>2008</v>
      </c>
      <c r="B43" s="22" t="s">
        <v>10</v>
      </c>
      <c r="C43" s="85">
        <f>(Indeks!C43/Indeks!$C$40*Indeks!$C$2)/Indeks!H43*100</f>
        <v>0.60509672081169275</v>
      </c>
      <c r="D43" s="85">
        <f>(Indeks!D43/Indeks!$D$40*Indeks!$D$2)/Indeks!H43*100</f>
        <v>0.16716193467208848</v>
      </c>
      <c r="E43" s="85">
        <f>(Indeks!E43/Indeks!$E$40*Indeks!$E$2)/Indeks!H43*100</f>
        <v>8.0829627924801584E-2</v>
      </c>
      <c r="F43" s="85">
        <f>(Indeks!F43/Indeks!$F$40*Indeks!$F$2)/Indeks!H43*100</f>
        <v>8.9875599775733464E-2</v>
      </c>
      <c r="G43" s="85">
        <f>(Indeks!G43/Indeks!$G$40*Indeks!$G$2)/Indeks!H43*100</f>
        <v>5.7036116815683734E-2</v>
      </c>
      <c r="H43" s="85">
        <f t="shared" si="2"/>
        <v>1</v>
      </c>
    </row>
    <row r="44" spans="1:8" ht="14.1" hidden="1" customHeight="1" x14ac:dyDescent="0.2">
      <c r="A44" s="12">
        <f t="shared" si="1"/>
        <v>2008</v>
      </c>
      <c r="B44" s="13" t="s">
        <v>11</v>
      </c>
      <c r="C44" s="83">
        <f>(Indeks!C44/Indeks!$C$40*Indeks!$C$2)/Indeks!H44*100</f>
        <v>0.59759071820588605</v>
      </c>
      <c r="D44" s="83">
        <f>(Indeks!D44/Indeks!$D$40*Indeks!$D$2)/Indeks!H44*100</f>
        <v>0.1750475502328161</v>
      </c>
      <c r="E44" s="83">
        <f>(Indeks!E44/Indeks!$E$40*Indeks!$E$2)/Indeks!H44*100</f>
        <v>8.0167815630538319E-2</v>
      </c>
      <c r="F44" s="83">
        <f>(Indeks!F44/Indeks!$F$40*Indeks!$F$2)/Indeks!H44*100</f>
        <v>8.8760725966451931E-2</v>
      </c>
      <c r="G44" s="83">
        <f>(Indeks!G44/Indeks!$G$40*Indeks!$G$2)/Indeks!H44*100</f>
        <v>5.8433189964307478E-2</v>
      </c>
      <c r="H44" s="83">
        <f t="shared" si="2"/>
        <v>0.99999999999999978</v>
      </c>
    </row>
    <row r="45" spans="1:8" ht="14.1" hidden="1" customHeight="1" x14ac:dyDescent="0.2">
      <c r="A45" s="16">
        <f t="shared" si="1"/>
        <v>2008</v>
      </c>
      <c r="B45" s="17" t="s">
        <v>12</v>
      </c>
      <c r="C45" s="84">
        <f>(Indeks!C45/Indeks!$C$40*Indeks!$C$2)/Indeks!H45*100</f>
        <v>0.59494076192632961</v>
      </c>
      <c r="D45" s="84">
        <f>(Indeks!D45/Indeks!$D$40*Indeks!$D$2)/Indeks!H45*100</f>
        <v>0.1759043839489014</v>
      </c>
      <c r="E45" s="84">
        <f>(Indeks!E45/Indeks!$E$40*Indeks!$E$2)/Indeks!H45*100</f>
        <v>8.0083789943459341E-2</v>
      </c>
      <c r="F45" s="84">
        <f>(Indeks!F45/Indeks!$F$40*Indeks!$F$2)/Indeks!H45*100</f>
        <v>8.8185486913374966E-2</v>
      </c>
      <c r="G45" s="84">
        <f>(Indeks!G45/Indeks!$G$40*Indeks!$G$2)/Indeks!H45*100</f>
        <v>6.0885577267934643E-2</v>
      </c>
      <c r="H45" s="84">
        <f t="shared" si="2"/>
        <v>1</v>
      </c>
    </row>
    <row r="46" spans="1:8" ht="14.1" hidden="1" customHeight="1" x14ac:dyDescent="0.2">
      <c r="A46" s="21">
        <f t="shared" si="1"/>
        <v>2008</v>
      </c>
      <c r="B46" s="26" t="s">
        <v>30</v>
      </c>
      <c r="C46" s="85">
        <f>(Indeks!C46/Indeks!$C$40*Indeks!$C$2)/Indeks!H46*100</f>
        <v>0.59048233719361365</v>
      </c>
      <c r="D46" s="85">
        <f>(Indeks!D46/Indeks!$D$40*Indeks!$D$2)/Indeks!H46*100</f>
        <v>0.18076523689568158</v>
      </c>
      <c r="E46" s="85">
        <f>(Indeks!E46/Indeks!$E$40*Indeks!$E$2)/Indeks!H46*100</f>
        <v>7.896274047966316E-2</v>
      </c>
      <c r="F46" s="85">
        <f>(Indeks!F46/Indeks!$F$40*Indeks!$F$2)/Indeks!H46*100</f>
        <v>8.6568027339674419E-2</v>
      </c>
      <c r="G46" s="85">
        <f>(Indeks!G46/Indeks!$G$40*Indeks!$G$2)/Indeks!H46*100</f>
        <v>6.3221658091367219E-2</v>
      </c>
      <c r="H46" s="85">
        <f t="shared" si="2"/>
        <v>1</v>
      </c>
    </row>
    <row r="47" spans="1:8" ht="14.1" hidden="1" customHeight="1" x14ac:dyDescent="0.2">
      <c r="A47" s="12">
        <f t="shared" si="1"/>
        <v>2008</v>
      </c>
      <c r="B47" s="13" t="s">
        <v>13</v>
      </c>
      <c r="C47" s="83">
        <f>(Indeks!C47/Indeks!$C$40*Indeks!$C$2)/Indeks!H47*100</f>
        <v>0.58317223935229101</v>
      </c>
      <c r="D47" s="83">
        <f>(Indeks!D47/Indeks!$D$40*Indeks!$D$2)/Indeks!H47*100</f>
        <v>0.18735752912824488</v>
      </c>
      <c r="E47" s="83">
        <f>(Indeks!E47/Indeks!$E$40*Indeks!$E$2)/Indeks!H47*100</f>
        <v>7.8248655065524378E-2</v>
      </c>
      <c r="F47" s="83">
        <f>(Indeks!F47/Indeks!$F$40*Indeks!$F$2)/Indeks!H47*100</f>
        <v>8.5672607020119085E-2</v>
      </c>
      <c r="G47" s="83">
        <f>(Indeks!G47/Indeks!$G$40*Indeks!$G$2)/Indeks!H47*100</f>
        <v>6.5548969433820672E-2</v>
      </c>
      <c r="H47" s="83">
        <f t="shared" si="2"/>
        <v>1</v>
      </c>
    </row>
    <row r="48" spans="1:8" ht="14.1" hidden="1" customHeight="1" x14ac:dyDescent="0.2">
      <c r="A48" s="16">
        <f t="shared" si="1"/>
        <v>2008</v>
      </c>
      <c r="B48" s="17" t="s">
        <v>14</v>
      </c>
      <c r="C48" s="84">
        <f>(Indeks!C48/Indeks!$C$40*Indeks!$C$2)/Indeks!H48*100</f>
        <v>0.58349539745158108</v>
      </c>
      <c r="D48" s="84">
        <f>(Indeks!D48/Indeks!$D$40*Indeks!$D$2)/Indeks!H48*100</f>
        <v>0.18825423900920157</v>
      </c>
      <c r="E48" s="84">
        <f>(Indeks!E48/Indeks!$E$40*Indeks!$E$2)/Indeks!H48*100</f>
        <v>7.8028406165415481E-2</v>
      </c>
      <c r="F48" s="84">
        <f>(Indeks!F48/Indeks!$F$40*Indeks!$F$2)/Indeks!H48*100</f>
        <v>8.6072839033768347E-2</v>
      </c>
      <c r="G48" s="84">
        <f>(Indeks!G48/Indeks!$G$40*Indeks!$G$2)/Indeks!H48*100</f>
        <v>6.4149118340033562E-2</v>
      </c>
      <c r="H48" s="84">
        <f t="shared" si="2"/>
        <v>1</v>
      </c>
    </row>
    <row r="49" spans="1:8" ht="14.1" hidden="1" customHeight="1" x14ac:dyDescent="0.2">
      <c r="A49" s="21">
        <f t="shared" si="1"/>
        <v>2008</v>
      </c>
      <c r="B49" s="22" t="s">
        <v>15</v>
      </c>
      <c r="C49" s="85">
        <f>(Indeks!C49/Indeks!$C$40*Indeks!$C$2)/Indeks!H49*100</f>
        <v>0.59653417421525201</v>
      </c>
      <c r="D49" s="85">
        <f>(Indeks!D49/Indeks!$D$40*Indeks!$D$2)/Indeks!H49*100</f>
        <v>0.17542588079092694</v>
      </c>
      <c r="E49" s="85">
        <f>(Indeks!E49/Indeks!$E$40*Indeks!$E$2)/Indeks!H49*100</f>
        <v>7.8911497306830142E-2</v>
      </c>
      <c r="F49" s="85">
        <f>(Indeks!F49/Indeks!$F$40*Indeks!$F$2)/Indeks!H49*100</f>
        <v>8.6900182674933019E-2</v>
      </c>
      <c r="G49" s="85">
        <f>(Indeks!G49/Indeks!$G$40*Indeks!$G$2)/Indeks!H49*100</f>
        <v>6.2228265012057929E-2</v>
      </c>
      <c r="H49" s="85">
        <f t="shared" si="2"/>
        <v>1</v>
      </c>
    </row>
    <row r="50" spans="1:8" ht="14.1" hidden="1" customHeight="1" x14ac:dyDescent="0.2">
      <c r="A50" s="12">
        <f t="shared" si="1"/>
        <v>2008</v>
      </c>
      <c r="B50" s="13" t="s">
        <v>16</v>
      </c>
      <c r="C50" s="83">
        <f>(Indeks!C50/Indeks!$C$40*Indeks!$C$2)/Indeks!H50*100</f>
        <v>0.59673730282125037</v>
      </c>
      <c r="D50" s="83">
        <f>(Indeks!D50/Indeks!$D$40*Indeks!$D$2)/Indeks!H50*100</f>
        <v>0.17445603924253902</v>
      </c>
      <c r="E50" s="83">
        <f>(Indeks!E50/Indeks!$E$40*Indeks!$E$2)/Indeks!H50*100</f>
        <v>7.9271160269587429E-2</v>
      </c>
      <c r="F50" s="83">
        <f>(Indeks!F50/Indeks!$F$40*Indeks!$F$2)/Indeks!H50*100</f>
        <v>8.7286043020723819E-2</v>
      </c>
      <c r="G50" s="83">
        <f>(Indeks!G50/Indeks!$G$40*Indeks!$G$2)/Indeks!H50*100</f>
        <v>6.2249454645899482E-2</v>
      </c>
      <c r="H50" s="83">
        <f t="shared" si="2"/>
        <v>1.0000000000000002</v>
      </c>
    </row>
    <row r="51" spans="1:8" ht="14.1" hidden="1" customHeight="1" thickBot="1" x14ac:dyDescent="0.25">
      <c r="A51" s="38">
        <f t="shared" si="1"/>
        <v>2008</v>
      </c>
      <c r="B51" s="39" t="s">
        <v>17</v>
      </c>
      <c r="C51" s="89">
        <f>(Indeks!C51/Indeks!$C$40*Indeks!$C$2)/Indeks!H51*100</f>
        <v>0.60105446764492776</v>
      </c>
      <c r="D51" s="89">
        <f>(Indeks!D51/Indeks!$D$40*Indeks!$D$2)/Indeks!H51*100</f>
        <v>0.16361953405577373</v>
      </c>
      <c r="E51" s="89">
        <f>(Indeks!E51/Indeks!$E$40*Indeks!$E$2)/Indeks!H51*100</f>
        <v>7.9710576590961341E-2</v>
      </c>
      <c r="F51" s="89">
        <f>(Indeks!F51/Indeks!$F$40*Indeks!$F$2)/Indeks!H51*100</f>
        <v>8.9263200350614386E-2</v>
      </c>
      <c r="G51" s="89">
        <f>(Indeks!G51/Indeks!$G$40*Indeks!$G$2)/Indeks!H51*100</f>
        <v>6.6352221357722757E-2</v>
      </c>
      <c r="H51" s="89">
        <f t="shared" si="2"/>
        <v>1</v>
      </c>
    </row>
    <row r="52" spans="1:8" ht="14.1" hidden="1" customHeight="1" x14ac:dyDescent="0.2">
      <c r="A52" s="56">
        <v>2009</v>
      </c>
      <c r="B52" s="57" t="s">
        <v>7</v>
      </c>
      <c r="C52" s="58">
        <f>(Indeks!C52/Indeks!$C$40*Indeks!$C$2)/Indeks!H52*100</f>
        <v>0.61209827620496648</v>
      </c>
      <c r="D52" s="58">
        <f>(Indeks!D52/Indeks!$D$40*Indeks!$D$2)/Indeks!H52*100</f>
        <v>0.15594702694224746</v>
      </c>
      <c r="E52" s="58">
        <f>(Indeks!E52/Indeks!$E$40*Indeks!$E$2)/Indeks!H52*100</f>
        <v>8.018563292930736E-2</v>
      </c>
      <c r="F52" s="58">
        <f>(Indeks!F52/Indeks!$F$40*Indeks!$F$2)/Indeks!H52*100</f>
        <v>9.0746123594251243E-2</v>
      </c>
      <c r="G52" s="58">
        <f>(Indeks!G52/Indeks!$G$40*Indeks!$G$2)/Indeks!H52*100</f>
        <v>6.1022940329227449E-2</v>
      </c>
      <c r="H52" s="58">
        <f t="shared" ref="H52:H58" si="3">SUM(C52:G52)</f>
        <v>1</v>
      </c>
    </row>
    <row r="53" spans="1:8" ht="14.1" hidden="1" customHeight="1" x14ac:dyDescent="0.2">
      <c r="A53" s="12">
        <f>A52</f>
        <v>2009</v>
      </c>
      <c r="B53" s="13" t="s">
        <v>8</v>
      </c>
      <c r="C53" s="83">
        <f>(Indeks!C53/Indeks!$C$40*Indeks!$C$2)/Indeks!H53*100</f>
        <v>0.62431006852098359</v>
      </c>
      <c r="D53" s="83">
        <f>(Indeks!D53/Indeks!$D$40*Indeks!$D$2)/Indeks!H53*100</f>
        <v>0.14602071617330725</v>
      </c>
      <c r="E53" s="83">
        <f>(Indeks!E53/Indeks!$E$40*Indeks!$E$2)/Indeks!H53*100</f>
        <v>8.1509556796623001E-2</v>
      </c>
      <c r="F53" s="83">
        <f>(Indeks!F53/Indeks!$F$40*Indeks!$F$2)/Indeks!H53*100</f>
        <v>9.2556572762132125E-2</v>
      </c>
      <c r="G53" s="83">
        <f>(Indeks!G53/Indeks!$G$40*Indeks!$G$2)/Indeks!H53*100</f>
        <v>5.5603085746954044E-2</v>
      </c>
      <c r="H53" s="83">
        <f t="shared" si="3"/>
        <v>1</v>
      </c>
    </row>
    <row r="54" spans="1:8" ht="14.1" hidden="1" customHeight="1" x14ac:dyDescent="0.2">
      <c r="A54" s="16">
        <f t="shared" ref="A54:A63" si="4">A53</f>
        <v>2009</v>
      </c>
      <c r="B54" s="17" t="s">
        <v>9</v>
      </c>
      <c r="C54" s="84">
        <f>(Indeks!C54/Indeks!$C$40*Indeks!$C$2)/Indeks!H54*100</f>
        <v>0.62682845992187919</v>
      </c>
      <c r="D54" s="84">
        <f>(Indeks!D54/Indeks!$D$40*Indeks!$D$2)/Indeks!H54*100</f>
        <v>0.14458672200935604</v>
      </c>
      <c r="E54" s="84">
        <f>(Indeks!E54/Indeks!$E$40*Indeks!$E$2)/Indeks!H54*100</f>
        <v>8.1561407749565037E-2</v>
      </c>
      <c r="F54" s="84">
        <f>(Indeks!F54/Indeks!$F$40*Indeks!$F$2)/Indeks!H54*100</f>
        <v>9.1447503134238772E-2</v>
      </c>
      <c r="G54" s="84">
        <f>(Indeks!G54/Indeks!$G$40*Indeks!$G$2)/Indeks!H54*100</f>
        <v>5.5575907184961248E-2</v>
      </c>
      <c r="H54" s="84">
        <f t="shared" si="3"/>
        <v>1.0000000000000002</v>
      </c>
    </row>
    <row r="55" spans="1:8" ht="14.1" hidden="1" customHeight="1" x14ac:dyDescent="0.2">
      <c r="A55" s="21">
        <f t="shared" si="4"/>
        <v>2009</v>
      </c>
      <c r="B55" s="22" t="s">
        <v>10</v>
      </c>
      <c r="C55" s="85">
        <f>(Indeks!C55/Indeks!$C$40*Indeks!$C$2)/Indeks!H55*100</f>
        <v>0.62975652138231064</v>
      </c>
      <c r="D55" s="85">
        <f>(Indeks!D55/Indeks!$D$40*Indeks!$D$2)/Indeks!H55*100</f>
        <v>0.14328237660383619</v>
      </c>
      <c r="E55" s="85">
        <f>(Indeks!E55/Indeks!$E$40*Indeks!$E$2)/Indeks!H55*100</f>
        <v>8.226104232240096E-2</v>
      </c>
      <c r="F55" s="85">
        <f>(Indeks!F55/Indeks!$F$40*Indeks!$F$2)/Indeks!H55*100</f>
        <v>9.273316935212364E-2</v>
      </c>
      <c r="G55" s="85">
        <f>(Indeks!G55/Indeks!$G$40*Indeks!$G$2)/Indeks!H55*100</f>
        <v>5.1966890339328525E-2</v>
      </c>
      <c r="H55" s="85">
        <f t="shared" si="3"/>
        <v>1</v>
      </c>
    </row>
    <row r="56" spans="1:8" ht="14.1" hidden="1" customHeight="1" x14ac:dyDescent="0.2">
      <c r="A56" s="12">
        <f t="shared" si="4"/>
        <v>2009</v>
      </c>
      <c r="B56" s="13" t="s">
        <v>11</v>
      </c>
      <c r="C56" s="83">
        <f>(Indeks!C56/Indeks!$C$40*Indeks!$C$2)/Indeks!H56*100</f>
        <v>0.63296743858849247</v>
      </c>
      <c r="D56" s="83">
        <f>(Indeks!D56/Indeks!$D$40*Indeks!$D$2)/Indeks!H56*100</f>
        <v>0.14103499060019578</v>
      </c>
      <c r="E56" s="83">
        <f>(Indeks!E56/Indeks!$E$40*Indeks!$E$2)/Indeks!H56*100</f>
        <v>8.2957682431663071E-2</v>
      </c>
      <c r="F56" s="83">
        <f>(Indeks!F56/Indeks!$F$40*Indeks!$F$2)/Indeks!H56*100</f>
        <v>9.3576953761961554E-2</v>
      </c>
      <c r="G56" s="83">
        <f>(Indeks!G56/Indeks!$G$40*Indeks!$G$2)/Indeks!H56*100</f>
        <v>4.9462934617687235E-2</v>
      </c>
      <c r="H56" s="83">
        <f t="shared" si="3"/>
        <v>1</v>
      </c>
    </row>
    <row r="57" spans="1:8" ht="14.1" hidden="1" customHeight="1" x14ac:dyDescent="0.2">
      <c r="A57" s="16">
        <f t="shared" si="4"/>
        <v>2009</v>
      </c>
      <c r="B57" s="17" t="s">
        <v>12</v>
      </c>
      <c r="C57" s="84">
        <f>(Indeks!C57/Indeks!$C$40*Indeks!$C$2)/Indeks!H57*100</f>
        <v>0.6310994304982942</v>
      </c>
      <c r="D57" s="84">
        <f>(Indeks!D57/Indeks!$D$40*Indeks!$D$2)/Indeks!H57*100</f>
        <v>0.14525063758930537</v>
      </c>
      <c r="E57" s="84">
        <f>(Indeks!E57/Indeks!$E$40*Indeks!$E$2)/Indeks!H57*100</f>
        <v>8.2643758296556818E-2</v>
      </c>
      <c r="F57" s="84">
        <f>(Indeks!F57/Indeks!$F$40*Indeks!$F$2)/Indeks!H57*100</f>
        <v>9.2191167379316888E-2</v>
      </c>
      <c r="G57" s="84">
        <f>(Indeks!G57/Indeks!$G$40*Indeks!$G$2)/Indeks!H57*100</f>
        <v>4.8815006236526765E-2</v>
      </c>
      <c r="H57" s="84">
        <f t="shared" si="3"/>
        <v>1</v>
      </c>
    </row>
    <row r="58" spans="1:8" ht="14.1" hidden="1" customHeight="1" x14ac:dyDescent="0.2">
      <c r="A58" s="21">
        <f t="shared" si="4"/>
        <v>2009</v>
      </c>
      <c r="B58" s="26" t="s">
        <v>30</v>
      </c>
      <c r="C58" s="85">
        <f>(Indeks!C58/Indeks!$C$40*Indeks!$C$2)/Indeks!H58*100</f>
        <v>0.63288553231685318</v>
      </c>
      <c r="D58" s="85">
        <f>(Indeks!D58/Indeks!$D$40*Indeks!$D$2)/Indeks!H58*100</f>
        <v>0.14557331848852614</v>
      </c>
      <c r="E58" s="85">
        <f>(Indeks!E58/Indeks!$E$40*Indeks!$E$2)/Indeks!H58*100</f>
        <v>8.2294932720904254E-2</v>
      </c>
      <c r="F58" s="85">
        <f>(Indeks!F58/Indeks!$F$40*Indeks!$F$2)/Indeks!H58*100</f>
        <v>9.1756043034506726E-2</v>
      </c>
      <c r="G58" s="85">
        <f>(Indeks!G58/Indeks!$G$40*Indeks!$G$2)/Indeks!H58*100</f>
        <v>4.7490173439209714E-2</v>
      </c>
      <c r="H58" s="85">
        <f t="shared" si="3"/>
        <v>1</v>
      </c>
    </row>
    <row r="59" spans="1:8" ht="14.1" hidden="1" customHeight="1" x14ac:dyDescent="0.2">
      <c r="A59" s="12">
        <f t="shared" si="4"/>
        <v>2009</v>
      </c>
      <c r="B59" s="13" t="s">
        <v>13</v>
      </c>
      <c r="C59" s="83">
        <f>(Indeks!C59/Indeks!$C$40*Indeks!$C$2)/Indeks!H59*100</f>
        <v>0.63145780637370053</v>
      </c>
      <c r="D59" s="83">
        <f>(Indeks!D59/Indeks!$D$40*Indeks!$D$2)/Indeks!H59*100</f>
        <v>0.15007072341601863</v>
      </c>
      <c r="E59" s="83">
        <f>(Indeks!E59/Indeks!$E$40*Indeks!$E$2)/Indeks!H59*100</f>
        <v>8.2314728063796652E-2</v>
      </c>
      <c r="F59" s="83">
        <f>(Indeks!F59/Indeks!$F$40*Indeks!$F$2)/Indeks!H59*100</f>
        <v>9.0266080974917673E-2</v>
      </c>
      <c r="G59" s="83">
        <f>(Indeks!G59/Indeks!$G$40*Indeks!$G$2)/Indeks!H59*100</f>
        <v>4.5890661171566538E-2</v>
      </c>
      <c r="H59" s="83">
        <f>SUM(C59:G59)</f>
        <v>1.0000000000000002</v>
      </c>
    </row>
    <row r="60" spans="1:8" ht="14.1" hidden="1" customHeight="1" x14ac:dyDescent="0.2">
      <c r="A60" s="63">
        <f t="shared" si="4"/>
        <v>2009</v>
      </c>
      <c r="B60" s="64" t="s">
        <v>14</v>
      </c>
      <c r="C60" s="91">
        <f>(Indeks!C60/Indeks!$C$40*Indeks!$C$2)/Indeks!H60*100</f>
        <v>0.63567393407259898</v>
      </c>
      <c r="D60" s="91">
        <f>(Indeks!D60/Indeks!$D$40*Indeks!$D$2)/Indeks!H60*100</f>
        <v>0.14787353107986412</v>
      </c>
      <c r="E60" s="91">
        <f>(Indeks!E60/Indeks!$E$40*Indeks!$E$2)/Indeks!H60*100</f>
        <v>8.2450696117257541E-2</v>
      </c>
      <c r="F60" s="91">
        <f>(Indeks!F60/Indeks!$F$40*Indeks!$F$2)/Indeks!H60*100</f>
        <v>9.0684265886129517E-2</v>
      </c>
      <c r="G60" s="91">
        <f>(Indeks!G60/Indeks!$G$40*Indeks!$G$2)/Indeks!H60*100</f>
        <v>4.3317572844149839E-2</v>
      </c>
      <c r="H60" s="91">
        <f>SUM(C60:G60)</f>
        <v>1</v>
      </c>
    </row>
    <row r="61" spans="1:8" ht="14.1" hidden="1" customHeight="1" x14ac:dyDescent="0.2">
      <c r="A61" s="32">
        <f t="shared" si="4"/>
        <v>2009</v>
      </c>
      <c r="B61" s="67" t="s">
        <v>15</v>
      </c>
      <c r="C61" s="92">
        <f>(Indeks!C61/Indeks!$C$40*Indeks!$C$2)/Indeks!H61*100</f>
        <v>0.63203828000673312</v>
      </c>
      <c r="D61" s="92">
        <f>(Indeks!D61/Indeks!$D$40*Indeks!$D$2)/Indeks!H61*100</f>
        <v>0.15488875429020171</v>
      </c>
      <c r="E61" s="92">
        <f>(Indeks!E61/Indeks!$E$40*Indeks!$E$2)/Indeks!H61*100</f>
        <v>8.2042820799426514E-2</v>
      </c>
      <c r="F61" s="92">
        <f>(Indeks!F61/Indeks!$F$40*Indeks!$F$2)/Indeks!H61*100</f>
        <v>8.927735052068661E-2</v>
      </c>
      <c r="G61" s="92">
        <f>(Indeks!G61/Indeks!$G$40*Indeks!$G$2)/Indeks!H61*100</f>
        <v>4.1752794382952048E-2</v>
      </c>
      <c r="H61" s="92">
        <f>SUM(C61:G61)</f>
        <v>1</v>
      </c>
    </row>
    <row r="62" spans="1:8" ht="14.1" hidden="1" customHeight="1" x14ac:dyDescent="0.2">
      <c r="A62" s="32">
        <f t="shared" si="4"/>
        <v>2009</v>
      </c>
      <c r="B62" s="67" t="s">
        <v>16</v>
      </c>
      <c r="C62" s="92">
        <f>(Indeks!C62/Indeks!$C$40*Indeks!$C$2)/Indeks!H62*100</f>
        <v>0.63572805267938604</v>
      </c>
      <c r="D62" s="92">
        <f>(Indeks!D62/Indeks!$D$40*Indeks!$D$2)/Indeks!H62*100</f>
        <v>0.15153440046703587</v>
      </c>
      <c r="E62" s="92">
        <f>(Indeks!E62/Indeks!$E$40*Indeks!$E$2)/Indeks!H62*100</f>
        <v>8.2659429121412553E-2</v>
      </c>
      <c r="F62" s="92">
        <f>(Indeks!F62/Indeks!$F$40*Indeks!$F$2)/Indeks!H62*100</f>
        <v>8.9706441187488745E-2</v>
      </c>
      <c r="G62" s="92">
        <f>(Indeks!G62/Indeks!$G$40*Indeks!$G$2)/Indeks!H62*100</f>
        <v>4.0371676544676841E-2</v>
      </c>
      <c r="H62" s="92">
        <f>SUM(C62:G62)</f>
        <v>1</v>
      </c>
    </row>
    <row r="63" spans="1:8" ht="14.1" hidden="1" customHeight="1" thickBot="1" x14ac:dyDescent="0.25">
      <c r="A63" s="72">
        <f t="shared" si="4"/>
        <v>2009</v>
      </c>
      <c r="B63" s="73" t="s">
        <v>17</v>
      </c>
      <c r="C63" s="93">
        <f>(Indeks!C63/Indeks!$C$40*Indeks!$C$2)/Indeks!H63*100</f>
        <v>0.63232543212323489</v>
      </c>
      <c r="D63" s="93">
        <f>(Indeks!D63/Indeks!$D$40*Indeks!$D$2)/Indeks!H63*100</f>
        <v>0.15072333972522961</v>
      </c>
      <c r="E63" s="93">
        <f>(Indeks!E63/Indeks!$E$40*Indeks!$E$2)/Indeks!H63*100</f>
        <v>8.221700932964339E-2</v>
      </c>
      <c r="F63" s="93">
        <f>(Indeks!F63/Indeks!$F$40*Indeks!$F$2)/Indeks!H63*100</f>
        <v>8.8859871067600057E-2</v>
      </c>
      <c r="G63" s="93">
        <f>(Indeks!G63/Indeks!$G$40*Indeks!$G$2)/Indeks!H63*100</f>
        <v>4.5874347754291972E-2</v>
      </c>
      <c r="H63" s="93">
        <f>SUM(C63:G63)</f>
        <v>0.99999999999999989</v>
      </c>
    </row>
    <row r="64" spans="1:8" ht="14.1" hidden="1" customHeight="1" x14ac:dyDescent="0.2">
      <c r="A64" s="56">
        <v>2010</v>
      </c>
      <c r="B64" s="57" t="s">
        <v>7</v>
      </c>
      <c r="C64" s="58">
        <f>(Indeks!C64/Indeks!$C$40*Indeks!$C$2)/Indeks!H64*100</f>
        <v>0.63386202698226757</v>
      </c>
      <c r="D64" s="58">
        <f>(Indeks!D64/Indeks!$D$40*Indeks!$D$2)/Indeks!H64*100</f>
        <v>0.15413772432973435</v>
      </c>
      <c r="E64" s="58">
        <f>(Indeks!E64/Indeks!$E$40*Indeks!$E$2)/Indeks!H64*100</f>
        <v>8.1781197231177619E-2</v>
      </c>
      <c r="F64" s="58">
        <f>(Indeks!F64/Indeks!$F$40*Indeks!$F$2)/Indeks!H64*100</f>
        <v>8.829772427417705E-2</v>
      </c>
      <c r="G64" s="58">
        <f>(Indeks!G64/Indeks!$G$40*Indeks!$G$2)/Indeks!H64*100</f>
        <v>4.1921327182643187E-2</v>
      </c>
      <c r="H64" s="58">
        <f t="shared" ref="H64:H70" si="5">SUM(C64:G64)</f>
        <v>0.99999999999999978</v>
      </c>
    </row>
    <row r="65" spans="1:8" ht="14.1" hidden="1" customHeight="1" x14ac:dyDescent="0.2">
      <c r="A65" s="12">
        <f>A64</f>
        <v>2010</v>
      </c>
      <c r="B65" s="13" t="s">
        <v>8</v>
      </c>
      <c r="C65" s="83">
        <f>(Indeks!C65/Indeks!$C$40*Indeks!$C$2)/Indeks!H65*100</f>
        <v>0.63619543729795003</v>
      </c>
      <c r="D65" s="83">
        <f>(Indeks!D65/Indeks!$D$40*Indeks!$D$2)/Indeks!H65*100</f>
        <v>0.15212085274151568</v>
      </c>
      <c r="E65" s="83">
        <f>(Indeks!E65/Indeks!$E$40*Indeks!$E$2)/Indeks!H65*100</f>
        <v>8.1945565152495251E-2</v>
      </c>
      <c r="F65" s="83">
        <f>(Indeks!F65/Indeks!$F$40*Indeks!$F$2)/Indeks!H65*100</f>
        <v>8.8531313101617257E-2</v>
      </c>
      <c r="G65" s="83">
        <f>(Indeks!G65/Indeks!$G$40*Indeks!$G$2)/Indeks!H65*100</f>
        <v>4.1206831706421788E-2</v>
      </c>
      <c r="H65" s="83">
        <f t="shared" si="5"/>
        <v>1</v>
      </c>
    </row>
    <row r="66" spans="1:8" ht="14.1" hidden="1" customHeight="1" x14ac:dyDescent="0.2">
      <c r="A66" s="16">
        <f t="shared" ref="A66:A75" si="6">A65</f>
        <v>2010</v>
      </c>
      <c r="B66" s="17" t="s">
        <v>9</v>
      </c>
      <c r="C66" s="84">
        <f>(Indeks!C66/Indeks!$C$40*Indeks!$C$2)/Indeks!H66*100</f>
        <v>0.63185668399254313</v>
      </c>
      <c r="D66" s="84">
        <f>(Indeks!D66/Indeks!$D$40*Indeks!$D$2)/Indeks!H66*100</f>
        <v>0.15913341654508409</v>
      </c>
      <c r="E66" s="84">
        <f>(Indeks!E66/Indeks!$E$40*Indeks!$E$2)/Indeks!H66*100</f>
        <v>8.1590345694349697E-2</v>
      </c>
      <c r="F66" s="84">
        <f>(Indeks!F66/Indeks!$F$40*Indeks!$F$2)/Indeks!H66*100</f>
        <v>8.8835885793665664E-2</v>
      </c>
      <c r="G66" s="84">
        <f>(Indeks!G66/Indeks!$G$40*Indeks!$G$2)/Indeks!H66*100</f>
        <v>3.858366797435725E-2</v>
      </c>
      <c r="H66" s="84">
        <f t="shared" si="5"/>
        <v>0.99999999999999978</v>
      </c>
    </row>
    <row r="67" spans="1:8" ht="14.1" hidden="1" customHeight="1" x14ac:dyDescent="0.2">
      <c r="A67" s="21">
        <f t="shared" si="6"/>
        <v>2010</v>
      </c>
      <c r="B67" s="22" t="s">
        <v>10</v>
      </c>
      <c r="C67" s="85">
        <f>(Indeks!C67/Indeks!$C$40*Indeks!$C$2)/Indeks!H67*100</f>
        <v>0.63444367913081301</v>
      </c>
      <c r="D67" s="85">
        <f>(Indeks!D67/Indeks!$D$40*Indeks!$D$2)/Indeks!H67*100</f>
        <v>0.15678751662615942</v>
      </c>
      <c r="E67" s="85">
        <f>(Indeks!E67/Indeks!$E$40*Indeks!$E$2)/Indeks!H67*100</f>
        <v>8.2595489703609484E-2</v>
      </c>
      <c r="F67" s="85">
        <f>(Indeks!F67/Indeks!$F$40*Indeks!$F$2)/Indeks!H67*100</f>
        <v>8.9167592636617027E-2</v>
      </c>
      <c r="G67" s="85">
        <f>(Indeks!G67/Indeks!$G$40*Indeks!$G$2)/Indeks!H67*100</f>
        <v>3.7005721902801082E-2</v>
      </c>
      <c r="H67" s="85">
        <f t="shared" si="5"/>
        <v>1</v>
      </c>
    </row>
    <row r="68" spans="1:8" ht="14.1" hidden="1" customHeight="1" x14ac:dyDescent="0.2">
      <c r="A68" s="12">
        <f t="shared" si="6"/>
        <v>2010</v>
      </c>
      <c r="B68" s="13" t="s">
        <v>11</v>
      </c>
      <c r="C68" s="83">
        <f>(Indeks!C68/Indeks!$C$40*Indeks!$C$2)/Indeks!H68*100</f>
        <v>0.63062693278194271</v>
      </c>
      <c r="D68" s="83">
        <f>(Indeks!D68/Indeks!$D$40*Indeks!$D$2)/Indeks!H68*100</f>
        <v>0.16234264699698137</v>
      </c>
      <c r="E68" s="83">
        <f>(Indeks!E68/Indeks!$E$40*Indeks!$E$2)/Indeks!H68*100</f>
        <v>8.2571211032216027E-2</v>
      </c>
      <c r="F68" s="83">
        <f>(Indeks!F68/Indeks!$F$40*Indeks!$F$2)/Indeks!H68*100</f>
        <v>8.890221312386766E-2</v>
      </c>
      <c r="G68" s="83">
        <f>(Indeks!G68/Indeks!$G$40*Indeks!$G$2)/Indeks!H68*100</f>
        <v>3.5556996064992213E-2</v>
      </c>
      <c r="H68" s="83">
        <f t="shared" si="5"/>
        <v>0.99999999999999989</v>
      </c>
    </row>
    <row r="69" spans="1:8" ht="14.1" hidden="1" customHeight="1" x14ac:dyDescent="0.2">
      <c r="A69" s="16">
        <f t="shared" si="6"/>
        <v>2010</v>
      </c>
      <c r="B69" s="17" t="s">
        <v>12</v>
      </c>
      <c r="C69" s="84">
        <f>(Indeks!C69/Indeks!$C$40*Indeks!$C$2)/Indeks!H69*100</f>
        <v>0.62798838633068588</v>
      </c>
      <c r="D69" s="84">
        <f>(Indeks!D69/Indeks!$D$40*Indeks!$D$2)/Indeks!H69*100</f>
        <v>0.1670945553259171</v>
      </c>
      <c r="E69" s="84">
        <f>(Indeks!E69/Indeks!$E$40*Indeks!$E$2)/Indeks!H69*100</f>
        <v>8.2360198274562424E-2</v>
      </c>
      <c r="F69" s="84">
        <f>(Indeks!F69/Indeks!$F$40*Indeks!$F$2)/Indeks!H69*100</f>
        <v>8.8980094599757434E-2</v>
      </c>
      <c r="G69" s="84">
        <f>(Indeks!G69/Indeks!$G$40*Indeks!$G$2)/Indeks!H69*100</f>
        <v>3.3576765469077001E-2</v>
      </c>
      <c r="H69" s="84">
        <f t="shared" si="5"/>
        <v>0.99999999999999978</v>
      </c>
    </row>
    <row r="70" spans="1:8" ht="14.1" hidden="1" customHeight="1" x14ac:dyDescent="0.2">
      <c r="A70" s="21">
        <f t="shared" si="6"/>
        <v>2010</v>
      </c>
      <c r="B70" s="26" t="s">
        <v>30</v>
      </c>
      <c r="C70" s="85">
        <f>(Indeks!C70/Indeks!$C$40*Indeks!$C$2)/Indeks!H70*100</f>
        <v>0.63175476327844005</v>
      </c>
      <c r="D70" s="85">
        <f>(Indeks!D70/Indeks!$D$40*Indeks!$D$2)/Indeks!H70*100</f>
        <v>0.16855051421420622</v>
      </c>
      <c r="E70" s="85">
        <f>(Indeks!E70/Indeks!$E$40*Indeks!$E$2)/Indeks!H70*100</f>
        <v>8.194443950386808E-2</v>
      </c>
      <c r="F70" s="85">
        <f>(Indeks!F70/Indeks!$F$40*Indeks!$F$2)/Indeks!H70*100</f>
        <v>8.8351887052097941E-2</v>
      </c>
      <c r="G70" s="85">
        <f>(Indeks!G70/Indeks!$G$40*Indeks!$G$2)/Indeks!H70*100</f>
        <v>2.9398395951387719E-2</v>
      </c>
      <c r="H70" s="85">
        <f t="shared" si="5"/>
        <v>1</v>
      </c>
    </row>
    <row r="71" spans="1:8" ht="14.1" hidden="1" customHeight="1" x14ac:dyDescent="0.2">
      <c r="A71" s="12">
        <f t="shared" si="6"/>
        <v>2010</v>
      </c>
      <c r="B71" s="13" t="s">
        <v>13</v>
      </c>
      <c r="C71" s="83">
        <f>(Indeks!C71/Indeks!$C$40*Indeks!$C$2)/Indeks!H71*100</f>
        <v>0.63092285333482045</v>
      </c>
      <c r="D71" s="83">
        <f>(Indeks!D71/Indeks!$D$40*Indeks!$D$2)/Indeks!H71*100</f>
        <v>0.16740998949218996</v>
      </c>
      <c r="E71" s="83">
        <f>(Indeks!E71/Indeks!$E$40*Indeks!$E$2)/Indeks!H71*100</f>
        <v>8.1702922418834603E-2</v>
      </c>
      <c r="F71" s="83">
        <f>(Indeks!F71/Indeks!$F$40*Indeks!$F$2)/Indeks!H71*100</f>
        <v>8.975530427975062E-2</v>
      </c>
      <c r="G71" s="83">
        <f>(Indeks!G71/Indeks!$G$40*Indeks!$G$2)/Indeks!H71*100</f>
        <v>3.0208930474404039E-2</v>
      </c>
      <c r="H71" s="83">
        <f>SUM(C71:G71)</f>
        <v>0.99999999999999978</v>
      </c>
    </row>
    <row r="72" spans="1:8" ht="14.1" hidden="1" customHeight="1" x14ac:dyDescent="0.2">
      <c r="A72" s="63">
        <f t="shared" si="6"/>
        <v>2010</v>
      </c>
      <c r="B72" s="64" t="s">
        <v>14</v>
      </c>
      <c r="C72" s="91">
        <f>(Indeks!C72/Indeks!$C$40*Indeks!$C$2)/Indeks!H72*100</f>
        <v>0.63236270229886815</v>
      </c>
      <c r="D72" s="91">
        <f>(Indeks!D72/Indeks!$D$40*Indeks!$D$2)/Indeks!H72*100</f>
        <v>0.16514511591215866</v>
      </c>
      <c r="E72" s="91">
        <f>(Indeks!E72/Indeks!$E$40*Indeks!$E$2)/Indeks!H72*100</f>
        <v>8.1889379237735066E-2</v>
      </c>
      <c r="F72" s="91">
        <f>(Indeks!F72/Indeks!$F$40*Indeks!$F$2)/Indeks!H72*100</f>
        <v>8.9960137693537889E-2</v>
      </c>
      <c r="G72" s="91">
        <f>(Indeks!G72/Indeks!$G$40*Indeks!$G$2)/Indeks!H72*100</f>
        <v>3.064266485770013E-2</v>
      </c>
      <c r="H72" s="91">
        <f>SUM(C72:G72)</f>
        <v>0.99999999999999989</v>
      </c>
    </row>
    <row r="73" spans="1:8" ht="14.1" hidden="1" customHeight="1" x14ac:dyDescent="0.2">
      <c r="A73" s="32">
        <f t="shared" si="6"/>
        <v>2010</v>
      </c>
      <c r="B73" s="67" t="s">
        <v>15</v>
      </c>
      <c r="C73" s="92">
        <f>(Indeks!C73/Indeks!$C$40*Indeks!$C$2)/Indeks!H73*100</f>
        <v>0.63451992592189888</v>
      </c>
      <c r="D73" s="92">
        <f>(Indeks!D73/Indeks!$D$40*Indeks!$D$2)/Indeks!H73*100</f>
        <v>0.16556864874354468</v>
      </c>
      <c r="E73" s="92">
        <f>(Indeks!E73/Indeks!$E$40*Indeks!$E$2)/Indeks!H73*100</f>
        <v>8.2367911615667255E-2</v>
      </c>
      <c r="F73" s="92">
        <f>(Indeks!F73/Indeks!$F$40*Indeks!$F$2)/Indeks!H73*100</f>
        <v>8.9382366652338868E-2</v>
      </c>
      <c r="G73" s="92">
        <f>(Indeks!G73/Indeks!$G$40*Indeks!$G$2)/Indeks!H73*100</f>
        <v>2.8161147066550447E-2</v>
      </c>
      <c r="H73" s="92">
        <f>SUM(C73:G73)</f>
        <v>1.0000000000000002</v>
      </c>
    </row>
    <row r="74" spans="1:8" ht="14.1" hidden="1" customHeight="1" x14ac:dyDescent="0.2">
      <c r="A74" s="32">
        <f t="shared" si="6"/>
        <v>2010</v>
      </c>
      <c r="B74" s="67" t="s">
        <v>16</v>
      </c>
      <c r="C74" s="92">
        <f>(Indeks!C74/Indeks!$C$40*Indeks!$C$2)/Indeks!H74*100</f>
        <v>0.63068122274998295</v>
      </c>
      <c r="D74" s="92">
        <f>(Indeks!D74/Indeks!$D$40*Indeks!$D$2)/Indeks!H74*100</f>
        <v>0.16903954806345081</v>
      </c>
      <c r="E74" s="92">
        <f>(Indeks!E74/Indeks!$E$40*Indeks!$E$2)/Indeks!H74*100</f>
        <v>8.2203221202090587E-2</v>
      </c>
      <c r="F74" s="92">
        <f>(Indeks!F74/Indeks!$F$40*Indeks!$F$2)/Indeks!H74*100</f>
        <v>8.8752335326890266E-2</v>
      </c>
      <c r="G74" s="92">
        <f>(Indeks!G74/Indeks!$G$40*Indeks!$G$2)/Indeks!H74*100</f>
        <v>2.9323672657585391E-2</v>
      </c>
      <c r="H74" s="92">
        <f>SUM(C74:G74)</f>
        <v>1</v>
      </c>
    </row>
    <row r="75" spans="1:8" ht="14.1" hidden="1" customHeight="1" thickBot="1" x14ac:dyDescent="0.25">
      <c r="A75" s="72">
        <f t="shared" si="6"/>
        <v>2010</v>
      </c>
      <c r="B75" s="73" t="s">
        <v>17</v>
      </c>
      <c r="C75" s="93">
        <f>(Indeks!C75/Indeks!$C$40*Indeks!$C$2)/Indeks!H75*100</f>
        <v>0.63057982983517369</v>
      </c>
      <c r="D75" s="93">
        <f>(Indeks!D75/Indeks!$D$40*Indeks!$D$2)/Indeks!H75*100</f>
        <v>0.16465520097592828</v>
      </c>
      <c r="E75" s="93">
        <f>(Indeks!E75/Indeks!$E$40*Indeks!$E$2)/Indeks!H75*100</f>
        <v>8.2123292945603527E-2</v>
      </c>
      <c r="F75" s="93">
        <f>(Indeks!F75/Indeks!$F$40*Indeks!$F$2)/Indeks!H75*100</f>
        <v>8.8113150890167469E-2</v>
      </c>
      <c r="G75" s="93">
        <f>(Indeks!G75/Indeks!$G$40*Indeks!$G$2)/Indeks!H75*100</f>
        <v>3.4528525353127337E-2</v>
      </c>
      <c r="H75" s="93">
        <f>SUM(C75:G75)</f>
        <v>1.0000000000000004</v>
      </c>
    </row>
    <row r="76" spans="1:8" ht="14.1" hidden="1" customHeight="1" x14ac:dyDescent="0.2">
      <c r="A76" s="56">
        <v>2011</v>
      </c>
      <c r="B76" s="57" t="s">
        <v>7</v>
      </c>
      <c r="C76" s="147">
        <f>(Indeks!C76/Indeks!$C$40*Indeks!$C$2)/Indeks!H76*100</f>
        <v>0.63074833903852934</v>
      </c>
      <c r="D76" s="147">
        <f>(Indeks!D76/Indeks!$D$40*Indeks!$D$2)/Indeks!H76*100</f>
        <v>0.16766940547587081</v>
      </c>
      <c r="E76" s="147">
        <f>(Indeks!E76/Indeks!$E$40*Indeks!$E$2)/Indeks!H76*100</f>
        <v>8.1592280953906457E-2</v>
      </c>
      <c r="F76" s="147">
        <f>(Indeks!F76/Indeks!$F$40*Indeks!$F$2)/Indeks!H76*100</f>
        <v>8.6674730097388866E-2</v>
      </c>
      <c r="G76" s="147">
        <f>(Indeks!G76/Indeks!$G$40*Indeks!$G$2)/Indeks!H76*100</f>
        <v>3.3315244434304371E-2</v>
      </c>
      <c r="H76" s="147">
        <f t="shared" ref="H76:H82" si="7">SUM(C76:G76)</f>
        <v>0.99999999999999989</v>
      </c>
    </row>
    <row r="77" spans="1:8" ht="14.1" hidden="1" customHeight="1" x14ac:dyDescent="0.2">
      <c r="A77" s="12">
        <f>A76</f>
        <v>2011</v>
      </c>
      <c r="B77" s="13" t="s">
        <v>8</v>
      </c>
      <c r="C77" s="116">
        <f>(Indeks!C77/Indeks!$C$40*Indeks!$C$2)/Indeks!H77*100</f>
        <v>0.62837459570852383</v>
      </c>
      <c r="D77" s="116">
        <f>(Indeks!D77/Indeks!$D$40*Indeks!$D$2)/Indeks!H77*100</f>
        <v>0.1714610077737328</v>
      </c>
      <c r="E77" s="116">
        <f>(Indeks!E77/Indeks!$E$40*Indeks!$E$2)/Indeks!H77*100</f>
        <v>8.1351196761909605E-2</v>
      </c>
      <c r="F77" s="116">
        <f>(Indeks!F77/Indeks!$F$40*Indeks!$F$2)/Indeks!H77*100</f>
        <v>8.6701704239858735E-2</v>
      </c>
      <c r="G77" s="116">
        <f>(Indeks!G77/Indeks!$G$40*Indeks!$G$2)/Indeks!H77*100</f>
        <v>3.2111495515975134E-2</v>
      </c>
      <c r="H77" s="116">
        <f t="shared" si="7"/>
        <v>1.0000000000000002</v>
      </c>
    </row>
    <row r="78" spans="1:8" ht="14.1" hidden="1" customHeight="1" x14ac:dyDescent="0.2">
      <c r="A78" s="16">
        <f t="shared" ref="A78:A87" si="8">A77</f>
        <v>2011</v>
      </c>
      <c r="B78" s="17" t="s">
        <v>9</v>
      </c>
      <c r="C78" s="117">
        <f>(Indeks!C78/Indeks!$C$40*Indeks!$C$2)/Indeks!H78*100</f>
        <v>0.62236765834255925</v>
      </c>
      <c r="D78" s="117">
        <f>(Indeks!D78/Indeks!$D$40*Indeks!$D$2)/Indeks!H78*100</f>
        <v>0.17588699777315647</v>
      </c>
      <c r="E78" s="117">
        <f>(Indeks!E78/Indeks!$E$40*Indeks!$E$2)/Indeks!H78*100</f>
        <v>8.063886878052251E-2</v>
      </c>
      <c r="F78" s="117">
        <f>(Indeks!F78/Indeks!$F$40*Indeks!$F$2)/Indeks!H78*100</f>
        <v>8.6572456022442165E-2</v>
      </c>
      <c r="G78" s="117">
        <f>(Indeks!G78/Indeks!$G$40*Indeks!$G$2)/Indeks!H78*100</f>
        <v>3.4534019081319527E-2</v>
      </c>
      <c r="H78" s="117">
        <f t="shared" si="7"/>
        <v>0.99999999999999989</v>
      </c>
    </row>
    <row r="79" spans="1:8" ht="14.1" hidden="1" customHeight="1" x14ac:dyDescent="0.2">
      <c r="A79" s="21">
        <f t="shared" si="8"/>
        <v>2011</v>
      </c>
      <c r="B79" s="22" t="s">
        <v>10</v>
      </c>
      <c r="C79" s="118">
        <f>(Indeks!C79/Indeks!$C$40*Indeks!$C$2)/Indeks!H79*100</f>
        <v>0.62008718037125521</v>
      </c>
      <c r="D79" s="118">
        <f>(Indeks!D79/Indeks!$D$40*Indeks!$D$2)/Indeks!H79*100</f>
        <v>0.17844944693091219</v>
      </c>
      <c r="E79" s="118">
        <f>(Indeks!E79/Indeks!$E$40*Indeks!$E$2)/Indeks!H79*100</f>
        <v>8.1048494260621565E-2</v>
      </c>
      <c r="F79" s="118">
        <f>(Indeks!F79/Indeks!$F$40*Indeks!$F$2)/Indeks!H79*100</f>
        <v>8.5533062018262787E-2</v>
      </c>
      <c r="G79" s="118">
        <f>(Indeks!G79/Indeks!$G$40*Indeks!$G$2)/Indeks!H79*100</f>
        <v>3.4881816418948122E-2</v>
      </c>
      <c r="H79" s="118">
        <f t="shared" si="7"/>
        <v>1</v>
      </c>
    </row>
    <row r="80" spans="1:8" ht="14.1" hidden="1" customHeight="1" x14ac:dyDescent="0.2">
      <c r="A80" s="12">
        <f t="shared" si="8"/>
        <v>2011</v>
      </c>
      <c r="B80" s="13" t="s">
        <v>11</v>
      </c>
      <c r="C80" s="116">
        <f>(Indeks!C80/Indeks!$C$40*Indeks!$C$2)/Indeks!H80*100</f>
        <v>0.61646412078338741</v>
      </c>
      <c r="D80" s="116">
        <f>(Indeks!D80/Indeks!$D$40*Indeks!$D$2)/Indeks!H80*100</f>
        <v>0.18150933062619778</v>
      </c>
      <c r="E80" s="116">
        <f>(Indeks!E80/Indeks!$E$40*Indeks!$E$2)/Indeks!H80*100</f>
        <v>8.1026523202400641E-2</v>
      </c>
      <c r="F80" s="116">
        <f>(Indeks!F80/Indeks!$F$40*Indeks!$F$2)/Indeks!H80*100</f>
        <v>8.5033307483361062E-2</v>
      </c>
      <c r="G80" s="116">
        <f>(Indeks!G80/Indeks!$G$40*Indeks!$G$2)/Indeks!H80*100</f>
        <v>3.5966717904652924E-2</v>
      </c>
      <c r="H80" s="116">
        <f t="shared" si="7"/>
        <v>0.99999999999999978</v>
      </c>
    </row>
    <row r="81" spans="1:8" ht="14.1" hidden="1" customHeight="1" x14ac:dyDescent="0.2">
      <c r="A81" s="16">
        <f t="shared" si="8"/>
        <v>2011</v>
      </c>
      <c r="B81" s="17" t="s">
        <v>12</v>
      </c>
      <c r="C81" s="117">
        <f>(Indeks!C81/Indeks!$C$40*Indeks!$C$2)/Indeks!H81*100</f>
        <v>0.61326393213042252</v>
      </c>
      <c r="D81" s="117">
        <f>(Indeks!D81/Indeks!$D$40*Indeks!$D$2)/Indeks!H81*100</f>
        <v>0.18685438755687794</v>
      </c>
      <c r="E81" s="117">
        <f>(Indeks!E81/Indeks!$E$40*Indeks!$E$2)/Indeks!H81*100</f>
        <v>8.092678165391369E-2</v>
      </c>
      <c r="F81" s="117">
        <f>(Indeks!F81/Indeks!$F$40*Indeks!$F$2)/Indeks!H81*100</f>
        <v>8.3990721975758437E-2</v>
      </c>
      <c r="G81" s="117">
        <f>(Indeks!G81/Indeks!$G$40*Indeks!$G$2)/Indeks!H81*100</f>
        <v>3.4964176683027218E-2</v>
      </c>
      <c r="H81" s="117">
        <f t="shared" si="7"/>
        <v>0.99999999999999978</v>
      </c>
    </row>
    <row r="82" spans="1:8" ht="14.1" hidden="1" customHeight="1" x14ac:dyDescent="0.2">
      <c r="A82" s="21">
        <f t="shared" si="8"/>
        <v>2011</v>
      </c>
      <c r="B82" s="26" t="s">
        <v>30</v>
      </c>
      <c r="C82" s="118">
        <f>(Indeks!C82/Indeks!$C$40*Indeks!$C$2)/Indeks!H82*100</f>
        <v>0.61989566283332664</v>
      </c>
      <c r="D82" s="118">
        <f>(Indeks!D82/Indeks!$D$40*Indeks!$D$2)/Indeks!H82*100</f>
        <v>0.18138825243294232</v>
      </c>
      <c r="E82" s="118">
        <f>(Indeks!E82/Indeks!$E$40*Indeks!$E$2)/Indeks!H82*100</f>
        <v>8.1523354020904049E-2</v>
      </c>
      <c r="F82" s="118">
        <f>(Indeks!F82/Indeks!$F$40*Indeks!$F$2)/Indeks!H82*100</f>
        <v>8.3784889170737481E-2</v>
      </c>
      <c r="G82" s="118">
        <f>(Indeks!G82/Indeks!$G$40*Indeks!$G$2)/Indeks!H82*100</f>
        <v>3.340784154208943E-2</v>
      </c>
      <c r="H82" s="118">
        <f t="shared" si="7"/>
        <v>0.99999999999999989</v>
      </c>
    </row>
    <row r="83" spans="1:8" ht="14.1" hidden="1" customHeight="1" x14ac:dyDescent="0.2">
      <c r="A83" s="12">
        <f t="shared" si="8"/>
        <v>2011</v>
      </c>
      <c r="B83" s="13" t="s">
        <v>13</v>
      </c>
      <c r="C83" s="116">
        <f>(Indeks!C83/Indeks!$C$40*Indeks!$C$2)/Indeks!H83*100</f>
        <v>0.61717723468225494</v>
      </c>
      <c r="D83" s="116">
        <f>(Indeks!D83/Indeks!$D$40*Indeks!$D$2)/Indeks!H83*100</f>
        <v>0.184790074717052</v>
      </c>
      <c r="E83" s="116">
        <f>(Indeks!E83/Indeks!$E$40*Indeks!$E$2)/Indeks!H83*100</f>
        <v>8.0973056703706303E-2</v>
      </c>
      <c r="F83" s="116">
        <f>(Indeks!F83/Indeks!$F$40*Indeks!$F$2)/Indeks!H83*100</f>
        <v>8.3331469947683326E-2</v>
      </c>
      <c r="G83" s="116">
        <f>(Indeks!G83/Indeks!$G$40*Indeks!$G$2)/Indeks!H83*100</f>
        <v>3.3728163949303246E-2</v>
      </c>
      <c r="H83" s="116">
        <f>SUM(C83:G83)</f>
        <v>0.99999999999999989</v>
      </c>
    </row>
    <row r="84" spans="1:8" ht="14.1" hidden="1" customHeight="1" x14ac:dyDescent="0.2">
      <c r="A84" s="63">
        <f t="shared" si="8"/>
        <v>2011</v>
      </c>
      <c r="B84" s="64" t="s">
        <v>14</v>
      </c>
      <c r="C84" s="91">
        <f>(Indeks!C84/Indeks!$C$40*Indeks!$C$2)/Indeks!H84*100</f>
        <v>0.61751779655572803</v>
      </c>
      <c r="D84" s="91">
        <f>(Indeks!D84/Indeks!$D$40*Indeks!$D$2)/Indeks!H84*100</f>
        <v>0.1868813177400809</v>
      </c>
      <c r="E84" s="91">
        <f>(Indeks!E84/Indeks!$E$40*Indeks!$E$2)/Indeks!H84*100</f>
        <v>8.0953438300224514E-2</v>
      </c>
      <c r="F84" s="91">
        <f>(Indeks!F84/Indeks!$F$40*Indeks!$F$2)/Indeks!H84*100</f>
        <v>8.3119318193495537E-2</v>
      </c>
      <c r="G84" s="91">
        <f>(Indeks!G84/Indeks!$G$40*Indeks!$G$2)/Indeks!H84*100</f>
        <v>3.1528129210470796E-2</v>
      </c>
      <c r="H84" s="91">
        <f>SUM(C84:G84)</f>
        <v>0.99999999999999967</v>
      </c>
    </row>
    <row r="85" spans="1:8" ht="14.1" hidden="1" customHeight="1" x14ac:dyDescent="0.2">
      <c r="A85" s="32">
        <f t="shared" si="8"/>
        <v>2011</v>
      </c>
      <c r="B85" s="67" t="s">
        <v>15</v>
      </c>
      <c r="C85" s="155">
        <f>(Indeks!C85/Indeks!$C$40*Indeks!$C$2)/Indeks!H85*100</f>
        <v>0.62284029196693758</v>
      </c>
      <c r="D85" s="155">
        <f>(Indeks!D85/Indeks!$D$40*Indeks!$D$2)/Indeks!H85*100</f>
        <v>0.18364618365111945</v>
      </c>
      <c r="E85" s="155">
        <f>(Indeks!E85/Indeks!$E$40*Indeks!$E$2)/Indeks!H85*100</f>
        <v>8.1380822162858746E-2</v>
      </c>
      <c r="F85" s="155">
        <f>(Indeks!F85/Indeks!$F$40*Indeks!$F$2)/Indeks!H85*100</f>
        <v>8.4077131193429439E-2</v>
      </c>
      <c r="G85" s="155">
        <f>(Indeks!G85/Indeks!$G$40*Indeks!$G$2)/Indeks!H85*100</f>
        <v>2.8055571025654702E-2</v>
      </c>
      <c r="H85" s="155">
        <f>SUM(C85:G85)</f>
        <v>0.99999999999999978</v>
      </c>
    </row>
    <row r="86" spans="1:8" ht="14.1" hidden="1" customHeight="1" x14ac:dyDescent="0.2">
      <c r="A86" s="32">
        <f t="shared" si="8"/>
        <v>2011</v>
      </c>
      <c r="B86" s="67" t="s">
        <v>16</v>
      </c>
      <c r="C86" s="92">
        <f>(Indeks!C86/Indeks!$C$40*Indeks!$C$2)/Indeks!H86*100</f>
        <v>0.62208975796637833</v>
      </c>
      <c r="D86" s="92">
        <f>(Indeks!D86/Indeks!$D$40*Indeks!$D$2)/Indeks!H86*100</f>
        <v>0.18697576162229568</v>
      </c>
      <c r="E86" s="92">
        <f>(Indeks!E86/Indeks!$E$40*Indeks!$E$2)/Indeks!H86*100</f>
        <v>8.1541002230663101E-2</v>
      </c>
      <c r="F86" s="92">
        <f>(Indeks!F86/Indeks!$F$40*Indeks!$F$2)/Indeks!H86*100</f>
        <v>8.3716632085418019E-2</v>
      </c>
      <c r="G86" s="92">
        <f>(Indeks!G86/Indeks!$G$40*Indeks!$G$2)/Indeks!H86*100</f>
        <v>2.567684609524477E-2</v>
      </c>
      <c r="H86" s="92">
        <f>SUM(C86:G86)</f>
        <v>0.99999999999999989</v>
      </c>
    </row>
    <row r="87" spans="1:8" ht="14.1" hidden="1" customHeight="1" thickBot="1" x14ac:dyDescent="0.25">
      <c r="A87" s="72">
        <f t="shared" si="8"/>
        <v>2011</v>
      </c>
      <c r="B87" s="73" t="s">
        <v>17</v>
      </c>
      <c r="C87" s="93">
        <f>(Indeks!C87/Indeks!$C$40*Indeks!$C$2)/Indeks!H87*100</f>
        <v>0.61794212442492802</v>
      </c>
      <c r="D87" s="93">
        <f>(Indeks!D87/Indeks!$D$40*Indeks!$D$2)/Indeks!H87*100</f>
        <v>0.1871620709520937</v>
      </c>
      <c r="E87" s="93">
        <f>(Indeks!E87/Indeks!$E$40*Indeks!$E$2)/Indeks!H87*100</f>
        <v>8.1125609081708461E-2</v>
      </c>
      <c r="F87" s="93">
        <f>(Indeks!F87/Indeks!$F$40*Indeks!$F$2)/Indeks!H87*100</f>
        <v>8.418829789006449E-2</v>
      </c>
      <c r="G87" s="93">
        <f>(Indeks!G87/Indeks!$G$40*Indeks!$G$2)/Indeks!H87*100</f>
        <v>2.9581897651205422E-2</v>
      </c>
      <c r="H87" s="93">
        <f>SUM(C87:G87)</f>
        <v>1.0000000000000002</v>
      </c>
    </row>
    <row r="88" spans="1:8" ht="15" hidden="1" customHeight="1" x14ac:dyDescent="0.2">
      <c r="A88" s="56">
        <v>2012</v>
      </c>
      <c r="B88" s="57" t="s">
        <v>7</v>
      </c>
      <c r="C88" s="147">
        <f>(Indeks!C88/Indeks!$C$40*Indeks!$C$2)/Indeks!H88*100</f>
        <v>0.61886439382863734</v>
      </c>
      <c r="D88" s="147">
        <f>(Indeks!D88/Indeks!$D$40*Indeks!$D$2)/Indeks!H88*100</f>
        <v>0.19084628270252729</v>
      </c>
      <c r="E88" s="147">
        <f>(Indeks!E88/Indeks!$E$40*Indeks!$E$2)/Indeks!H88*100</f>
        <v>8.0847826170421286E-2</v>
      </c>
      <c r="F88" s="147">
        <f>(Indeks!F88/Indeks!$F$40*Indeks!$F$2)/Indeks!H88*100</f>
        <v>8.3538441277316342E-2</v>
      </c>
      <c r="G88" s="147">
        <f>(Indeks!G88/Indeks!$G$40*Indeks!$G$2)/Indeks!H88*100</f>
        <v>2.5903056021097735E-2</v>
      </c>
      <c r="H88" s="147">
        <f t="shared" ref="H88:H94" si="9">SUM(C88:G88)</f>
        <v>1</v>
      </c>
    </row>
    <row r="89" spans="1:8" ht="15" hidden="1" customHeight="1" x14ac:dyDescent="0.2">
      <c r="A89" s="12">
        <f>A88</f>
        <v>2012</v>
      </c>
      <c r="B89" s="13" t="s">
        <v>8</v>
      </c>
      <c r="C89" s="116">
        <f>(Indeks!C89/Indeks!$C$40*Indeks!$C$2)/Indeks!H89*100</f>
        <v>0.62384258931639425</v>
      </c>
      <c r="D89" s="116">
        <f>(Indeks!D89/Indeks!$D$40*Indeks!$D$2)/Indeks!H89*100</f>
        <v>0.18794871304713759</v>
      </c>
      <c r="E89" s="116">
        <f>(Indeks!E89/Indeks!$E$40*Indeks!$E$2)/Indeks!H89*100</f>
        <v>8.1498172655774248E-2</v>
      </c>
      <c r="F89" s="116">
        <f>(Indeks!F89/Indeks!$F$40*Indeks!$F$2)/Indeks!H89*100</f>
        <v>8.4814399546491046E-2</v>
      </c>
      <c r="G89" s="116">
        <f>(Indeks!G89/Indeks!$G$40*Indeks!$G$2)/Indeks!H89*100</f>
        <v>2.1896125434202843E-2</v>
      </c>
      <c r="H89" s="116">
        <f t="shared" si="9"/>
        <v>1</v>
      </c>
    </row>
    <row r="90" spans="1:8" ht="15" hidden="1" customHeight="1" x14ac:dyDescent="0.2">
      <c r="A90" s="16">
        <f t="shared" ref="A90:A99" si="10">A89</f>
        <v>2012</v>
      </c>
      <c r="B90" s="17" t="s">
        <v>9</v>
      </c>
      <c r="C90" s="117">
        <f>(Indeks!C90/Indeks!$C$40*Indeks!$C$2)/Indeks!H90*100</f>
        <v>0.61884311096231148</v>
      </c>
      <c r="D90" s="117">
        <f>(Indeks!D90/Indeks!$D$40*Indeks!$D$2)/Indeks!H90*100</f>
        <v>0.19226881874359908</v>
      </c>
      <c r="E90" s="117">
        <f>(Indeks!E90/Indeks!$E$40*Indeks!$E$2)/Indeks!H90*100</f>
        <v>8.1100884550551242E-2</v>
      </c>
      <c r="F90" s="117">
        <f>(Indeks!F90/Indeks!$F$40*Indeks!$F$2)/Indeks!H90*100</f>
        <v>8.49050039212636E-2</v>
      </c>
      <c r="G90" s="117">
        <f>(Indeks!G90/Indeks!$G$40*Indeks!$G$2)/Indeks!H90*100</f>
        <v>2.2882181822274566E-2</v>
      </c>
      <c r="H90" s="117">
        <f t="shared" si="9"/>
        <v>0.99999999999999989</v>
      </c>
    </row>
    <row r="91" spans="1:8" hidden="1" x14ac:dyDescent="0.2">
      <c r="A91" s="21">
        <f t="shared" si="10"/>
        <v>2012</v>
      </c>
      <c r="B91" s="22" t="s">
        <v>10</v>
      </c>
      <c r="C91" s="118">
        <f>(Indeks!C91/Indeks!$C$40*Indeks!$C$2)/Indeks!H91*100</f>
        <v>0.61742294049348689</v>
      </c>
      <c r="D91" s="118">
        <f>(Indeks!D91/Indeks!$D$40*Indeks!$D$2)/Indeks!H91*100</f>
        <v>0.19340368473055353</v>
      </c>
      <c r="E91" s="118">
        <f>(Indeks!E91/Indeks!$E$40*Indeks!$E$2)/Indeks!H91*100</f>
        <v>8.1398930583446716E-2</v>
      </c>
      <c r="F91" s="118">
        <f>(Indeks!F91/Indeks!$F$40*Indeks!$F$2)/Indeks!H91*100</f>
        <v>8.4748972292622501E-2</v>
      </c>
      <c r="G91" s="118">
        <f>(Indeks!G91/Indeks!$G$40*Indeks!$G$2)/Indeks!H91*100</f>
        <v>2.3025471899890515E-2</v>
      </c>
      <c r="H91" s="118">
        <f t="shared" si="9"/>
        <v>1</v>
      </c>
    </row>
    <row r="92" spans="1:8" hidden="1" x14ac:dyDescent="0.2">
      <c r="A92" s="12">
        <f t="shared" si="10"/>
        <v>2012</v>
      </c>
      <c r="B92" s="13" t="s">
        <v>11</v>
      </c>
      <c r="C92" s="116">
        <f>(Indeks!C92/Indeks!$C$40*Indeks!$C$2)/Indeks!H92*100</f>
        <v>0.61584738343879686</v>
      </c>
      <c r="D92" s="116">
        <f>(Indeks!D92/Indeks!$D$40*Indeks!$D$2)/Indeks!H92*100</f>
        <v>0.19627928686749202</v>
      </c>
      <c r="E92" s="116">
        <f>(Indeks!E92/Indeks!$E$40*Indeks!$E$2)/Indeks!H92*100</f>
        <v>8.1570612724152544E-2</v>
      </c>
      <c r="F92" s="116">
        <f>(Indeks!F92/Indeks!$F$40*Indeks!$F$2)/Indeks!H92*100</f>
        <v>8.4025003555901451E-2</v>
      </c>
      <c r="G92" s="116">
        <f>(Indeks!G92/Indeks!$G$40*Indeks!$G$2)/Indeks!H92*100</f>
        <v>2.2277713413657134E-2</v>
      </c>
      <c r="H92" s="116">
        <f t="shared" si="9"/>
        <v>1</v>
      </c>
    </row>
    <row r="93" spans="1:8" hidden="1" x14ac:dyDescent="0.2">
      <c r="A93" s="16">
        <f t="shared" si="10"/>
        <v>2012</v>
      </c>
      <c r="B93" s="17" t="s">
        <v>12</v>
      </c>
      <c r="C93" s="117">
        <f>(Indeks!C93/Indeks!$C$40*Indeks!$C$2)/Indeks!H93*100</f>
        <v>0.61812090162755817</v>
      </c>
      <c r="D93" s="117">
        <f>(Indeks!D93/Indeks!$D$40*Indeks!$D$2)/Indeks!H93*100</f>
        <v>0.19438589744233437</v>
      </c>
      <c r="E93" s="117">
        <f>(Indeks!E93/Indeks!$E$40*Indeks!$E$2)/Indeks!H93*100</f>
        <v>8.1871746213851279E-2</v>
      </c>
      <c r="F93" s="117">
        <f>(Indeks!F93/Indeks!$F$40*Indeks!$F$2)/Indeks!H93*100</f>
        <v>8.4759846427122809E-2</v>
      </c>
      <c r="G93" s="117">
        <f>(Indeks!G93/Indeks!$G$40*Indeks!$G$2)/Indeks!H93*100</f>
        <v>2.0861608289133492E-2</v>
      </c>
      <c r="H93" s="117">
        <f t="shared" si="9"/>
        <v>1.0000000000000002</v>
      </c>
    </row>
    <row r="94" spans="1:8" hidden="1" x14ac:dyDescent="0.2">
      <c r="A94" s="21">
        <f t="shared" si="10"/>
        <v>2012</v>
      </c>
      <c r="B94" s="26" t="s">
        <v>30</v>
      </c>
      <c r="C94" s="118">
        <f>(Indeks!C94/Indeks!$C$40*Indeks!$C$2)/Indeks!H94*100</f>
        <v>0.62418458151484035</v>
      </c>
      <c r="D94" s="118">
        <f>(Indeks!D94/Indeks!$D$40*Indeks!$D$2)/Indeks!H94*100</f>
        <v>0.19055558132770262</v>
      </c>
      <c r="E94" s="118">
        <f>(Indeks!E94/Indeks!$E$40*Indeks!$E$2)/Indeks!H94*100</f>
        <v>8.2337723318234829E-2</v>
      </c>
      <c r="F94" s="118">
        <f>(Indeks!F94/Indeks!$F$40*Indeks!$F$2)/Indeks!H94*100</f>
        <v>8.5071435122174729E-2</v>
      </c>
      <c r="G94" s="118">
        <f>(Indeks!G94/Indeks!$G$40*Indeks!$G$2)/Indeks!H94*100</f>
        <v>1.7850678717047472E-2</v>
      </c>
      <c r="H94" s="118">
        <f t="shared" si="9"/>
        <v>1</v>
      </c>
    </row>
    <row r="95" spans="1:8" hidden="1" x14ac:dyDescent="0.2">
      <c r="A95" s="12">
        <f t="shared" si="10"/>
        <v>2012</v>
      </c>
      <c r="B95" s="13" t="s">
        <v>13</v>
      </c>
      <c r="C95" s="116">
        <f>(Indeks!C95/Indeks!$C$40*Indeks!$C$2)/Indeks!H95*100</f>
        <v>0.62650059438472649</v>
      </c>
      <c r="D95" s="116">
        <f>(Indeks!D95/Indeks!$D$40*Indeks!$D$2)/Indeks!H95*100</f>
        <v>0.18531664196696432</v>
      </c>
      <c r="E95" s="116">
        <f>(Indeks!E95/Indeks!$E$40*Indeks!$E$2)/Indeks!H95*100</f>
        <v>8.2515105226709892E-2</v>
      </c>
      <c r="F95" s="116">
        <f>(Indeks!F95/Indeks!$F$40*Indeks!$F$2)/Indeks!H95*100</f>
        <v>8.6587309540730684E-2</v>
      </c>
      <c r="G95" s="116">
        <f>(Indeks!G95/Indeks!$G$40*Indeks!$G$2)/Indeks!H95*100</f>
        <v>1.9080348880868622E-2</v>
      </c>
      <c r="H95" s="116">
        <f>SUM(C95:G95)</f>
        <v>1</v>
      </c>
    </row>
    <row r="96" spans="1:8" hidden="1" x14ac:dyDescent="0.2">
      <c r="A96" s="63">
        <f t="shared" si="10"/>
        <v>2012</v>
      </c>
      <c r="B96" s="64" t="s">
        <v>14</v>
      </c>
      <c r="C96" s="91">
        <f>(Indeks!C96/Indeks!$C$40*Indeks!$C$2)/Indeks!H96*100</f>
        <v>0.6230261445603491</v>
      </c>
      <c r="D96" s="91">
        <f>(Indeks!D96/Indeks!$D$40*Indeks!$D$2)/Indeks!H96*100</f>
        <v>0.19206342948239749</v>
      </c>
      <c r="E96" s="91">
        <f>(Indeks!E96/Indeks!$E$40*Indeks!$E$2)/Indeks!H96*100</f>
        <v>8.2057492583668457E-2</v>
      </c>
      <c r="F96" s="91">
        <f>(Indeks!F96/Indeks!$F$40*Indeks!$F$2)/Indeks!H96*100</f>
        <v>8.6192367816195395E-2</v>
      </c>
      <c r="G96" s="91">
        <f>(Indeks!G96/Indeks!$G$40*Indeks!$G$2)/Indeks!H96*100</f>
        <v>1.6660565557389616E-2</v>
      </c>
      <c r="H96" s="91">
        <f>SUM(C96:G96)</f>
        <v>1.0000000000000002</v>
      </c>
    </row>
    <row r="97" spans="1:8" hidden="1" x14ac:dyDescent="0.2">
      <c r="A97" s="32">
        <f t="shared" si="10"/>
        <v>2012</v>
      </c>
      <c r="B97" s="67" t="s">
        <v>15</v>
      </c>
      <c r="C97" s="92">
        <f>(Indeks!C97/Indeks!$C$40*Indeks!$C$2)/Indeks!H97*100</f>
        <v>0.61941861263554587</v>
      </c>
      <c r="D97" s="92">
        <f>(Indeks!D97/Indeks!$D$40*Indeks!$D$2)/Indeks!H97*100</f>
        <v>0.19596607753928369</v>
      </c>
      <c r="E97" s="92">
        <f>(Indeks!E97/Indeks!$E$40*Indeks!$E$2)/Indeks!H97*100</f>
        <v>8.1702430391611416E-2</v>
      </c>
      <c r="F97" s="92">
        <f>(Indeks!F97/Indeks!$F$40*Indeks!$F$2)/Indeks!H97*100</f>
        <v>8.6146079341875584E-2</v>
      </c>
      <c r="G97" s="92">
        <f>(Indeks!G97/Indeks!$G$40*Indeks!$G$2)/Indeks!H97*100</f>
        <v>1.6766800091683496E-2</v>
      </c>
      <c r="H97" s="92">
        <f>SUM(C97:G97)</f>
        <v>1</v>
      </c>
    </row>
    <row r="98" spans="1:8" hidden="1" x14ac:dyDescent="0.2">
      <c r="A98" s="32">
        <f t="shared" si="10"/>
        <v>2012</v>
      </c>
      <c r="B98" s="67" t="s">
        <v>16</v>
      </c>
      <c r="C98" s="92">
        <f>(Indeks!C98/Indeks!$C$40*Indeks!$C$2)/Indeks!H98*100</f>
        <v>0.61880764737463123</v>
      </c>
      <c r="D98" s="92">
        <f>(Indeks!D98/Indeks!$D$40*Indeks!$D$2)/Indeks!H98*100</f>
        <v>0.1959899492356221</v>
      </c>
      <c r="E98" s="92">
        <f>(Indeks!E98/Indeks!$E$40*Indeks!$E$2)/Indeks!H98*100</f>
        <v>8.1811367376723038E-2</v>
      </c>
      <c r="F98" s="92">
        <f>(Indeks!F98/Indeks!$F$40*Indeks!$F$2)/Indeks!H98*100</f>
        <v>8.5722951319478241E-2</v>
      </c>
      <c r="G98" s="92">
        <f>(Indeks!G98/Indeks!$G$40*Indeks!$G$2)/Indeks!H98*100</f>
        <v>1.7668084693545239E-2</v>
      </c>
      <c r="H98" s="92">
        <f>SUM(C98:G98)</f>
        <v>0.99999999999999978</v>
      </c>
    </row>
    <row r="99" spans="1:8" hidden="1" x14ac:dyDescent="0.2">
      <c r="A99" s="32">
        <f t="shared" si="10"/>
        <v>2012</v>
      </c>
      <c r="B99" s="33" t="s">
        <v>17</v>
      </c>
      <c r="C99" s="116">
        <f>(Indeks!C99/Indeks!$C$40*Indeks!$C$2)/Indeks!H99*100</f>
        <v>0.61839491063938057</v>
      </c>
      <c r="D99" s="116">
        <f>(Indeks!D99/Indeks!$D$40*Indeks!$D$2)/Indeks!H99*100</f>
        <v>0.19585922646234571</v>
      </c>
      <c r="E99" s="116">
        <f>(Indeks!E99/Indeks!$E$40*Indeks!$E$2)/Indeks!H99*100</f>
        <v>8.1693667583508545E-2</v>
      </c>
      <c r="F99" s="116">
        <f>(Indeks!F99/Indeks!$F$40*Indeks!$F$2)/Indeks!H99*100</f>
        <v>8.4905428097121802E-2</v>
      </c>
      <c r="G99" s="116">
        <f>(Indeks!G99/Indeks!$G$40*Indeks!$G$2)/Indeks!H99*100</f>
        <v>1.9146767217643409E-2</v>
      </c>
      <c r="H99" s="116">
        <f>SUM(C99:G99)</f>
        <v>0.99999999999999989</v>
      </c>
    </row>
    <row r="100" spans="1:8" hidden="1" x14ac:dyDescent="0.2">
      <c r="A100" s="56">
        <v>2013</v>
      </c>
      <c r="B100" s="57" t="s">
        <v>7</v>
      </c>
      <c r="C100" s="147">
        <f>(Indeks!C100/Indeks!$C$40*Indeks!$C$2)/Indeks!H100*100</f>
        <v>0.62673974944776323</v>
      </c>
      <c r="D100" s="147">
        <f>(Indeks!D100/Indeks!$D$40*Indeks!$D$2)/Indeks!H100*100</f>
        <v>0.1899563927971917</v>
      </c>
      <c r="E100" s="147">
        <f>(Indeks!E100/Indeks!$E$40*Indeks!$E$2)/Indeks!H100*100</f>
        <v>8.1705241523744504E-2</v>
      </c>
      <c r="F100" s="147">
        <f>(Indeks!F100/Indeks!$F$40*Indeks!$F$2)/Indeks!H100*100</f>
        <v>8.4729450826740646E-2</v>
      </c>
      <c r="G100" s="147">
        <f>(Indeks!G100/Indeks!$G$40*Indeks!$G$2)/Indeks!H100*100</f>
        <v>1.6869165404559825E-2</v>
      </c>
      <c r="H100" s="147">
        <f t="shared" ref="H100:H106" si="11">SUM(C100:G100)</f>
        <v>0.99999999999999989</v>
      </c>
    </row>
    <row r="101" spans="1:8" hidden="1" x14ac:dyDescent="0.2">
      <c r="A101" s="12">
        <f>A100</f>
        <v>2013</v>
      </c>
      <c r="B101" s="13" t="s">
        <v>8</v>
      </c>
      <c r="C101" s="116">
        <f>(Indeks!C101/Indeks!$C$40*Indeks!$C$2)/Indeks!H101*100</f>
        <v>0.62985944705320673</v>
      </c>
      <c r="D101" s="116">
        <f>(Indeks!D101/Indeks!$D$40*Indeks!$D$2)/Indeks!H101*100</f>
        <v>0.18609936689631509</v>
      </c>
      <c r="E101" s="116">
        <f>(Indeks!E101/Indeks!$E$40*Indeks!$E$2)/Indeks!H101*100</f>
        <v>8.1857922535208821E-2</v>
      </c>
      <c r="F101" s="116">
        <f>(Indeks!F101/Indeks!$F$40*Indeks!$F$2)/Indeks!H101*100</f>
        <v>8.5576111469102212E-2</v>
      </c>
      <c r="G101" s="116">
        <f>(Indeks!G101/Indeks!$G$40*Indeks!$G$2)/Indeks!H101*100</f>
        <v>1.6607152046167042E-2</v>
      </c>
      <c r="H101" s="116">
        <f t="shared" si="11"/>
        <v>1</v>
      </c>
    </row>
    <row r="102" spans="1:8" hidden="1" x14ac:dyDescent="0.2">
      <c r="A102" s="16">
        <f t="shared" ref="A102:A111" si="12">A101</f>
        <v>2013</v>
      </c>
      <c r="B102" s="17" t="s">
        <v>9</v>
      </c>
      <c r="C102" s="117">
        <f>(Indeks!C102/Indeks!$C$40*Indeks!$C$2)/Indeks!H102*100</f>
        <v>0.62847630806785393</v>
      </c>
      <c r="D102" s="117">
        <f>(Indeks!D102/Indeks!$D$40*Indeks!$D$2)/Indeks!H102*100</f>
        <v>0.18634415926457176</v>
      </c>
      <c r="E102" s="117">
        <f>(Indeks!E102/Indeks!$E$40*Indeks!$E$2)/Indeks!H102*100</f>
        <v>8.136133909848281E-2</v>
      </c>
      <c r="F102" s="117">
        <f>(Indeks!F102/Indeks!$F$40*Indeks!$F$2)/Indeks!H102*100</f>
        <v>8.4370655185051574E-2</v>
      </c>
      <c r="G102" s="117">
        <f>(Indeks!G102/Indeks!$G$40*Indeks!$G$2)/Indeks!H102*100</f>
        <v>1.9447538384040085E-2</v>
      </c>
      <c r="H102" s="117">
        <f t="shared" si="11"/>
        <v>1.0000000000000002</v>
      </c>
    </row>
    <row r="103" spans="1:8" hidden="1" x14ac:dyDescent="0.2">
      <c r="A103" s="21">
        <f t="shared" si="12"/>
        <v>2013</v>
      </c>
      <c r="B103" s="22" t="s">
        <v>10</v>
      </c>
      <c r="C103" s="118">
        <f>(Indeks!C103/Indeks!$C$40*Indeks!$C$2)/Indeks!H103*100</f>
        <v>0.62767780186341648</v>
      </c>
      <c r="D103" s="118">
        <f>(Indeks!D103/Indeks!$D$40*Indeks!$D$2)/Indeks!H103*100</f>
        <v>0.1888849777138025</v>
      </c>
      <c r="E103" s="118">
        <f>(Indeks!E103/Indeks!$E$40*Indeks!$E$2)/Indeks!H103*100</f>
        <v>8.1808499646859531E-2</v>
      </c>
      <c r="F103" s="118">
        <f>(Indeks!F103/Indeks!$F$40*Indeks!$F$2)/Indeks!H103*100</f>
        <v>8.4015658681486333E-2</v>
      </c>
      <c r="G103" s="118">
        <f>(Indeks!G103/Indeks!$G$40*Indeks!$G$2)/Indeks!H103*100</f>
        <v>1.7613062094435129E-2</v>
      </c>
      <c r="H103" s="118">
        <f t="shared" si="11"/>
        <v>1</v>
      </c>
    </row>
    <row r="104" spans="1:8" hidden="1" x14ac:dyDescent="0.2">
      <c r="A104" s="12">
        <f t="shared" si="12"/>
        <v>2013</v>
      </c>
      <c r="B104" s="13" t="s">
        <v>11</v>
      </c>
      <c r="C104" s="116">
        <f>(Indeks!C104/Indeks!$C$40*Indeks!$C$2)/Indeks!H104*100</f>
        <v>0.63058930350879339</v>
      </c>
      <c r="D104" s="116">
        <f>(Indeks!D104/Indeks!$D$40*Indeks!$D$2)/Indeks!H104*100</f>
        <v>0.18606377469315097</v>
      </c>
      <c r="E104" s="116">
        <f>(Indeks!E104/Indeks!$E$40*Indeks!$E$2)/Indeks!H104*100</f>
        <v>8.2357897312013428E-2</v>
      </c>
      <c r="F104" s="116">
        <f>(Indeks!F104/Indeks!$F$40*Indeks!$F$2)/Indeks!H104*100</f>
        <v>8.432837309042901E-2</v>
      </c>
      <c r="G104" s="116">
        <f>(Indeks!G104/Indeks!$G$40*Indeks!$G$2)/Indeks!H104*100</f>
        <v>1.6660651395613135E-2</v>
      </c>
      <c r="H104" s="116">
        <f t="shared" si="11"/>
        <v>0.99999999999999978</v>
      </c>
    </row>
    <row r="105" spans="1:8" hidden="1" x14ac:dyDescent="0.2">
      <c r="A105" s="16">
        <f t="shared" si="12"/>
        <v>2013</v>
      </c>
      <c r="B105" s="17" t="s">
        <v>12</v>
      </c>
      <c r="C105" s="117">
        <f>(Indeks!C105/Indeks!$C$40*Indeks!$C$2)/Indeks!H105*100</f>
        <v>0.63568073933128288</v>
      </c>
      <c r="D105" s="117">
        <f>(Indeks!D105/Indeks!$D$40*Indeks!$D$2)/Indeks!H105*100</f>
        <v>0.18022128589475675</v>
      </c>
      <c r="E105" s="117">
        <f>(Indeks!E105/Indeks!$E$40*Indeks!$E$2)/Indeks!H105*100</f>
        <v>8.2915344981440847E-2</v>
      </c>
      <c r="F105" s="117">
        <f>(Indeks!F105/Indeks!$F$40*Indeks!$F$2)/Indeks!H105*100</f>
        <v>8.5777403958794254E-2</v>
      </c>
      <c r="G105" s="117">
        <f>(Indeks!G105/Indeks!$G$40*Indeks!$G$2)/Indeks!H105*100</f>
        <v>1.540522583372525E-2</v>
      </c>
      <c r="H105" s="117">
        <f t="shared" si="11"/>
        <v>1</v>
      </c>
    </row>
    <row r="106" spans="1:8" hidden="1" x14ac:dyDescent="0.2">
      <c r="A106" s="21">
        <f t="shared" si="12"/>
        <v>2013</v>
      </c>
      <c r="B106" s="26" t="s">
        <v>30</v>
      </c>
      <c r="C106" s="118">
        <f>(Indeks!C106/Indeks!$C$40*Indeks!$C$2)/Indeks!H106*100</f>
        <v>0.63533334665443986</v>
      </c>
      <c r="D106" s="118">
        <f>(Indeks!D106/Indeks!$D$40*Indeks!$D$2)/Indeks!H106*100</f>
        <v>0.18096196160667405</v>
      </c>
      <c r="E106" s="118">
        <f>(Indeks!E106/Indeks!$E$40*Indeks!$E$2)/Indeks!H106*100</f>
        <v>8.2666466073506931E-2</v>
      </c>
      <c r="F106" s="118">
        <f>(Indeks!F106/Indeks!$F$40*Indeks!$F$2)/Indeks!H106*100</f>
        <v>8.511408406716954E-2</v>
      </c>
      <c r="G106" s="118">
        <f>(Indeks!G106/Indeks!$G$40*Indeks!$G$2)/Indeks!H106*100</f>
        <v>1.5924141598209735E-2</v>
      </c>
      <c r="H106" s="118">
        <f t="shared" si="11"/>
        <v>1.0000000000000002</v>
      </c>
    </row>
    <row r="107" spans="1:8" hidden="1" x14ac:dyDescent="0.2">
      <c r="A107" s="12">
        <f t="shared" si="12"/>
        <v>2013</v>
      </c>
      <c r="B107" s="13" t="s">
        <v>13</v>
      </c>
      <c r="C107" s="116">
        <f>(Indeks!C107/Indeks!$C$40*Indeks!$C$2)/Indeks!H107*100</f>
        <v>0.63427935963360171</v>
      </c>
      <c r="D107" s="116">
        <f>(Indeks!D107/Indeks!$D$40*Indeks!$D$2)/Indeks!H107*100</f>
        <v>0.18022563684893186</v>
      </c>
      <c r="E107" s="116">
        <f>(Indeks!E107/Indeks!$E$40*Indeks!$E$2)/Indeks!H107*100</f>
        <v>8.2465891139147179E-2</v>
      </c>
      <c r="F107" s="116">
        <f>(Indeks!F107/Indeks!$F$40*Indeks!$F$2)/Indeks!H107*100</f>
        <v>8.5057771950825645E-2</v>
      </c>
      <c r="G107" s="116">
        <f>(Indeks!G107/Indeks!$G$40*Indeks!$G$2)/Indeks!H107*100</f>
        <v>1.7971340427493394E-2</v>
      </c>
      <c r="H107" s="116">
        <f>SUM(C107:G107)</f>
        <v>0.99999999999999978</v>
      </c>
    </row>
    <row r="108" spans="1:8" hidden="1" x14ac:dyDescent="0.2">
      <c r="A108" s="63">
        <f t="shared" si="12"/>
        <v>2013</v>
      </c>
      <c r="B108" s="64" t="s">
        <v>14</v>
      </c>
      <c r="C108" s="91">
        <f>(Indeks!C108/Indeks!$C$40*Indeks!$C$2)/Indeks!H108*100</f>
        <v>0.63186416118919031</v>
      </c>
      <c r="D108" s="91">
        <f>(Indeks!D108/Indeks!$D$40*Indeks!$D$2)/Indeks!H108*100</f>
        <v>0.18399256143363604</v>
      </c>
      <c r="E108" s="91">
        <f>(Indeks!E108/Indeks!$E$40*Indeks!$E$2)/Indeks!H108*100</f>
        <v>8.1899103872230886E-2</v>
      </c>
      <c r="F108" s="91">
        <f>(Indeks!F108/Indeks!$F$40*Indeks!$F$2)/Indeks!H108*100</f>
        <v>8.4226501809897603E-2</v>
      </c>
      <c r="G108" s="91">
        <f>(Indeks!G108/Indeks!$G$40*Indeks!$G$2)/Indeks!H108*100</f>
        <v>1.8017671695044972E-2</v>
      </c>
      <c r="H108" s="91">
        <f>SUM(C108:G108)</f>
        <v>0.99999999999999989</v>
      </c>
    </row>
    <row r="109" spans="1:8" hidden="1" x14ac:dyDescent="0.2">
      <c r="A109" s="32">
        <f t="shared" si="12"/>
        <v>2013</v>
      </c>
      <c r="B109" s="67" t="s">
        <v>15</v>
      </c>
      <c r="C109" s="92">
        <f>(Indeks!C109/Indeks!$C$40*Indeks!$C$2)/Indeks!H109*100</f>
        <v>0.63199261584854438</v>
      </c>
      <c r="D109" s="92">
        <f>(Indeks!D109/Indeks!$D$40*Indeks!$D$2)/Indeks!H109*100</f>
        <v>0.18271916911286504</v>
      </c>
      <c r="E109" s="92">
        <f>(Indeks!E109/Indeks!$E$40*Indeks!$E$2)/Indeks!H109*100</f>
        <v>8.1781261672170286E-2</v>
      </c>
      <c r="F109" s="92">
        <f>(Indeks!F109/Indeks!$F$40*Indeks!$F$2)/Indeks!H109*100</f>
        <v>8.4040464748115676E-2</v>
      </c>
      <c r="G109" s="92">
        <f>(Indeks!G109/Indeks!$G$40*Indeks!$G$2)/Indeks!H109*100</f>
        <v>1.9466488618304741E-2</v>
      </c>
      <c r="H109" s="92">
        <f>SUM(C109:G109)</f>
        <v>1</v>
      </c>
    </row>
    <row r="110" spans="1:8" hidden="1" x14ac:dyDescent="0.2">
      <c r="A110" s="32">
        <f t="shared" si="12"/>
        <v>2013</v>
      </c>
      <c r="B110" s="67" t="s">
        <v>16</v>
      </c>
      <c r="C110" s="92">
        <f>(Indeks!C110/Indeks!$C$40*Indeks!$C$2)/Indeks!H110*100</f>
        <v>0.62915646341605469</v>
      </c>
      <c r="D110" s="92">
        <f>(Indeks!D110/Indeks!$D$40*Indeks!$D$2)/Indeks!H110*100</f>
        <v>0.1871857048026204</v>
      </c>
      <c r="E110" s="92">
        <f>(Indeks!E110/Indeks!$E$40*Indeks!$E$2)/Indeks!H110*100</f>
        <v>8.1665342020882284E-2</v>
      </c>
      <c r="F110" s="92">
        <f>(Indeks!F110/Indeks!$F$40*Indeks!$F$2)/Indeks!H110*100</f>
        <v>8.3411323826689004E-2</v>
      </c>
      <c r="G110" s="92">
        <f>(Indeks!G110/Indeks!$G$40*Indeks!$G$2)/Indeks!H110*100</f>
        <v>1.8581165933753675E-2</v>
      </c>
      <c r="H110" s="92">
        <f>SUM(C110:G110)</f>
        <v>1</v>
      </c>
    </row>
    <row r="111" spans="1:8" hidden="1" x14ac:dyDescent="0.2">
      <c r="A111" s="32">
        <f t="shared" si="12"/>
        <v>2013</v>
      </c>
      <c r="B111" s="33" t="s">
        <v>17</v>
      </c>
      <c r="C111" s="116">
        <f>(Indeks!C111/Indeks!$C$40*Indeks!$C$2)/Indeks!H111*100</f>
        <v>0.63164359856144892</v>
      </c>
      <c r="D111" s="116">
        <f>(Indeks!D111/Indeks!$D$40*Indeks!$D$2)/Indeks!H111*100</f>
        <v>0.18315983518168116</v>
      </c>
      <c r="E111" s="116">
        <f>(Indeks!E111/Indeks!$E$40*Indeks!$E$2)/Indeks!H111*100</f>
        <v>8.2114214157683774E-2</v>
      </c>
      <c r="F111" s="116">
        <f>(Indeks!F111/Indeks!$F$40*Indeks!$F$2)/Indeks!H111*100</f>
        <v>8.3741059348894101E-2</v>
      </c>
      <c r="G111" s="116">
        <f>(Indeks!G111/Indeks!$G$40*Indeks!$G$2)/Indeks!H111*100</f>
        <v>1.934129275029212E-2</v>
      </c>
      <c r="H111" s="116">
        <f>SUM(C111:G111)</f>
        <v>1</v>
      </c>
    </row>
    <row r="112" spans="1:8" hidden="1" x14ac:dyDescent="0.2">
      <c r="A112" s="56">
        <v>2014</v>
      </c>
      <c r="B112" s="57" t="s">
        <v>7</v>
      </c>
      <c r="C112" s="147">
        <f>(Indeks!C112/Indeks!$C$40*Indeks!$C$2)/Indeks!H112*100</f>
        <v>0.63535495015292309</v>
      </c>
      <c r="D112" s="147">
        <f>(Indeks!D112/Indeks!$D$40*Indeks!$D$2)/Indeks!H112*100</f>
        <v>0.18165600732184931</v>
      </c>
      <c r="E112" s="147">
        <f>(Indeks!E112/Indeks!$E$40*Indeks!$E$2)/Indeks!H112*100</f>
        <v>8.2274250458235512E-2</v>
      </c>
      <c r="F112" s="147">
        <f>(Indeks!F112/Indeks!$F$40*Indeks!$F$2)/Indeks!H112*100</f>
        <v>8.3589747155755817E-2</v>
      </c>
      <c r="G112" s="147">
        <f>(Indeks!G112/Indeks!$G$40*Indeks!$G$2)/Indeks!H112*100</f>
        <v>1.7125044911236138E-2</v>
      </c>
      <c r="H112" s="147">
        <f t="shared" ref="H112:H118" si="13">SUM(C112:G112)</f>
        <v>0.99999999999999989</v>
      </c>
    </row>
    <row r="113" spans="1:8" hidden="1" x14ac:dyDescent="0.2">
      <c r="A113" s="12">
        <f>A112</f>
        <v>2014</v>
      </c>
      <c r="B113" s="13" t="s">
        <v>8</v>
      </c>
      <c r="C113" s="116">
        <f>(Indeks!C113/Indeks!$C$40*Indeks!$C$2)/Indeks!H113*100</f>
        <v>0.63397283730216636</v>
      </c>
      <c r="D113" s="116">
        <f>(Indeks!D113/Indeks!$D$40*Indeks!$D$2)/Indeks!H113*100</f>
        <v>0.18212915921559011</v>
      </c>
      <c r="E113" s="116">
        <f>(Indeks!E113/Indeks!$E$40*Indeks!$E$2)/Indeks!H113*100</f>
        <v>8.2032125802076611E-2</v>
      </c>
      <c r="F113" s="116">
        <f>(Indeks!F113/Indeks!$F$40*Indeks!$F$2)/Indeks!H113*100</f>
        <v>8.3745937041720786E-2</v>
      </c>
      <c r="G113" s="116">
        <f>(Indeks!G113/Indeks!$G$40*Indeks!$G$2)/Indeks!H113*100</f>
        <v>1.8119940638445832E-2</v>
      </c>
      <c r="H113" s="116">
        <f t="shared" si="13"/>
        <v>0.99999999999999978</v>
      </c>
    </row>
    <row r="114" spans="1:8" hidden="1" x14ac:dyDescent="0.2">
      <c r="A114" s="16">
        <f t="shared" ref="A114:A123" si="14">A113</f>
        <v>2014</v>
      </c>
      <c r="B114" s="17" t="s">
        <v>9</v>
      </c>
      <c r="C114" s="117">
        <f>(Indeks!C114/Indeks!$C$40*Indeks!$C$2)/Indeks!H114*100</f>
        <v>0.63549448116488638</v>
      </c>
      <c r="D114" s="117">
        <f>(Indeks!D114/Indeks!$D$40*Indeks!$D$2)/Indeks!H114*100</f>
        <v>0.18115190129740832</v>
      </c>
      <c r="E114" s="117">
        <f>(Indeks!E114/Indeks!$E$40*Indeks!$E$2)/Indeks!H114*100</f>
        <v>8.2102413447421627E-2</v>
      </c>
      <c r="F114" s="117">
        <f>(Indeks!F114/Indeks!$F$40*Indeks!$F$2)/Indeks!H114*100</f>
        <v>8.3777523044971713E-2</v>
      </c>
      <c r="G114" s="117">
        <f>(Indeks!G114/Indeks!$G$40*Indeks!$G$2)/Indeks!H114*100</f>
        <v>1.7473681045311801E-2</v>
      </c>
      <c r="H114" s="117">
        <f t="shared" si="13"/>
        <v>0.99999999999999978</v>
      </c>
    </row>
    <row r="115" spans="1:8" hidden="1" x14ac:dyDescent="0.2">
      <c r="A115" s="32">
        <f t="shared" si="14"/>
        <v>2014</v>
      </c>
      <c r="B115" s="33" t="s">
        <v>10</v>
      </c>
      <c r="C115" s="116">
        <f>(Indeks!C115/Indeks!$C$40*Indeks!$C$2)/Indeks!H115*100</f>
        <v>0.63583831017228321</v>
      </c>
      <c r="D115" s="116">
        <f>(Indeks!D115/Indeks!$D$40*Indeks!$D$2)/Indeks!H115*100</f>
        <v>0.18139288166696488</v>
      </c>
      <c r="E115" s="116">
        <f>(Indeks!E115/Indeks!$E$40*Indeks!$E$2)/Indeks!H115*100</f>
        <v>8.2386255617299287E-2</v>
      </c>
      <c r="F115" s="116">
        <f>(Indeks!F115/Indeks!$F$40*Indeks!$F$2)/Indeks!H115*100</f>
        <v>8.3656659610081119E-2</v>
      </c>
      <c r="G115" s="116">
        <f>(Indeks!G115/Indeks!$G$40*Indeks!$G$2)/Indeks!H115*100</f>
        <v>1.6725892933371355E-2</v>
      </c>
      <c r="H115" s="116">
        <f t="shared" si="13"/>
        <v>0.99999999999999978</v>
      </c>
    </row>
    <row r="116" spans="1:8" hidden="1" x14ac:dyDescent="0.2">
      <c r="A116" s="12">
        <f t="shared" si="14"/>
        <v>2014</v>
      </c>
      <c r="B116" s="13" t="s">
        <v>11</v>
      </c>
      <c r="C116" s="116">
        <f>(Indeks!C116/Indeks!$C$40*Indeks!$C$2)/Indeks!H116*100</f>
        <v>0.63679966276365774</v>
      </c>
      <c r="D116" s="116">
        <f>(Indeks!D116/Indeks!$D$40*Indeks!$D$2)/Indeks!H116*100</f>
        <v>0.18068984889196468</v>
      </c>
      <c r="E116" s="116">
        <f>(Indeks!E116/Indeks!$E$40*Indeks!$E$2)/Indeks!H116*100</f>
        <v>8.257399737825101E-2</v>
      </c>
      <c r="F116" s="116">
        <f>(Indeks!F116/Indeks!$F$40*Indeks!$F$2)/Indeks!H116*100</f>
        <v>8.3529511762492945E-2</v>
      </c>
      <c r="G116" s="116">
        <f>(Indeks!G116/Indeks!$G$40*Indeks!$G$2)/Indeks!H116*100</f>
        <v>1.6406979203633584E-2</v>
      </c>
      <c r="H116" s="116">
        <f t="shared" si="13"/>
        <v>0.99999999999999989</v>
      </c>
    </row>
    <row r="117" spans="1:8" hidden="1" x14ac:dyDescent="0.2">
      <c r="A117" s="16">
        <f t="shared" si="14"/>
        <v>2014</v>
      </c>
      <c r="B117" s="17" t="s">
        <v>12</v>
      </c>
      <c r="C117" s="117">
        <f>(Indeks!C117/Indeks!$C$40*Indeks!$C$2)/Indeks!H117*100</f>
        <v>0.63768886429755045</v>
      </c>
      <c r="D117" s="117">
        <f>(Indeks!D117/Indeks!$D$40*Indeks!$D$2)/Indeks!H117*100</f>
        <v>0.1799635034639471</v>
      </c>
      <c r="E117" s="117">
        <f>(Indeks!E117/Indeks!$E$40*Indeks!$E$2)/Indeks!H117*100</f>
        <v>8.2815833376520903E-2</v>
      </c>
      <c r="F117" s="117">
        <f>(Indeks!F117/Indeks!$F$40*Indeks!$F$2)/Indeks!H117*100</f>
        <v>8.3561486931714807E-2</v>
      </c>
      <c r="G117" s="117">
        <f>(Indeks!G117/Indeks!$G$40*Indeks!$G$2)/Indeks!H117*100</f>
        <v>1.5970311930266937E-2</v>
      </c>
      <c r="H117" s="117">
        <f t="shared" si="13"/>
        <v>1.0000000000000002</v>
      </c>
    </row>
    <row r="118" spans="1:8" hidden="1" x14ac:dyDescent="0.2">
      <c r="A118" s="12">
        <f t="shared" si="14"/>
        <v>2014</v>
      </c>
      <c r="B118" s="13" t="s">
        <v>30</v>
      </c>
      <c r="C118" s="116">
        <f>(Indeks!C118/Indeks!$C$40*Indeks!$C$2)/Indeks!H118*100</f>
        <v>0.63945943569208796</v>
      </c>
      <c r="D118" s="116">
        <f>(Indeks!D118/Indeks!$D$40*Indeks!$D$2)/Indeks!H118*100</f>
        <v>0.17905242702047303</v>
      </c>
      <c r="E118" s="116">
        <f>(Indeks!E118/Indeks!$E$40*Indeks!$E$2)/Indeks!H118*100</f>
        <v>8.2783810729801385E-2</v>
      </c>
      <c r="F118" s="116">
        <f>(Indeks!F118/Indeks!$F$40*Indeks!$F$2)/Indeks!H118*100</f>
        <v>8.3762424305075231E-2</v>
      </c>
      <c r="G118" s="116">
        <f>(Indeks!G118/Indeks!$G$40*Indeks!$G$2)/Indeks!H118*100</f>
        <v>1.4941902252562457E-2</v>
      </c>
      <c r="H118" s="116">
        <f t="shared" si="13"/>
        <v>0.99999999999999989</v>
      </c>
    </row>
    <row r="119" spans="1:8" hidden="1" x14ac:dyDescent="0.2">
      <c r="A119" s="12">
        <f t="shared" si="14"/>
        <v>2014</v>
      </c>
      <c r="B119" s="13" t="s">
        <v>13</v>
      </c>
      <c r="C119" s="116">
        <f>(Indeks!C119/Indeks!$C$40*Indeks!$C$2)/Indeks!H119*100</f>
        <v>0.63820008039494114</v>
      </c>
      <c r="D119" s="116">
        <f>(Indeks!D119/Indeks!$D$40*Indeks!$D$2)/Indeks!H119*100</f>
        <v>0.18076255597704977</v>
      </c>
      <c r="E119" s="116">
        <f>(Indeks!E119/Indeks!$E$40*Indeks!$E$2)/Indeks!H119*100</f>
        <v>8.2557610059340758E-2</v>
      </c>
      <c r="F119" s="116">
        <f>(Indeks!F119/Indeks!$F$40*Indeks!$F$2)/Indeks!H119*100</f>
        <v>8.3681989339780438E-2</v>
      </c>
      <c r="G119" s="116">
        <f>(Indeks!G119/Indeks!$G$40*Indeks!$G$2)/Indeks!H119*100</f>
        <v>1.4797764228887842E-2</v>
      </c>
      <c r="H119" s="116">
        <f>SUM(C119:G119)</f>
        <v>0.99999999999999989</v>
      </c>
    </row>
    <row r="120" spans="1:8" hidden="1" x14ac:dyDescent="0.2">
      <c r="A120" s="16">
        <f t="shared" si="14"/>
        <v>2014</v>
      </c>
      <c r="B120" s="17" t="s">
        <v>14</v>
      </c>
      <c r="C120" s="117">
        <f>(Indeks!C120/Indeks!$C$40*Indeks!$C$2)/Indeks!H120*100</f>
        <v>0.63933172262948534</v>
      </c>
      <c r="D120" s="117">
        <f>(Indeks!D120/Indeks!$D$40*Indeks!$D$2)/Indeks!H120*100</f>
        <v>0.17934294242705881</v>
      </c>
      <c r="E120" s="117">
        <f>(Indeks!E120/Indeks!$E$40*Indeks!$E$2)/Indeks!H120*100</f>
        <v>8.2640721648510301E-2</v>
      </c>
      <c r="F120" s="117">
        <f>(Indeks!F120/Indeks!$F$40*Indeks!$F$2)/Indeks!H120*100</f>
        <v>8.374569524433749E-2</v>
      </c>
      <c r="G120" s="117">
        <f>(Indeks!G120/Indeks!$G$40*Indeks!$G$2)/Indeks!H120*100</f>
        <v>1.493891805060801E-2</v>
      </c>
      <c r="H120" s="117">
        <f>SUM(C120:G120)</f>
        <v>1</v>
      </c>
    </row>
    <row r="121" spans="1:8" hidden="1" x14ac:dyDescent="0.2">
      <c r="A121" s="32">
        <f t="shared" si="14"/>
        <v>2014</v>
      </c>
      <c r="B121" s="33" t="s">
        <v>15</v>
      </c>
      <c r="C121" s="116">
        <f>(Indeks!C121/Indeks!$C$40*Indeks!$C$2)/Indeks!H121*100</f>
        <v>0.64063912184651284</v>
      </c>
      <c r="D121" s="116">
        <f>(Indeks!D121/Indeks!$D$40*Indeks!$D$2)/Indeks!H121*100</f>
        <v>0.17943018186484036</v>
      </c>
      <c r="E121" s="116">
        <f>(Indeks!E121/Indeks!$E$40*Indeks!$E$2)/Indeks!H121*100</f>
        <v>8.2354535872584927E-2</v>
      </c>
      <c r="F121" s="116">
        <f>(Indeks!F121/Indeks!$F$40*Indeks!$F$2)/Indeks!H121*100</f>
        <v>8.3583682445755272E-2</v>
      </c>
      <c r="G121" s="116">
        <f>(Indeks!G121/Indeks!$G$40*Indeks!$G$2)/Indeks!H121*100</f>
        <v>1.3992477970306581E-2</v>
      </c>
      <c r="H121" s="116">
        <f>SUM(C121:G121)</f>
        <v>1</v>
      </c>
    </row>
    <row r="122" spans="1:8" hidden="1" x14ac:dyDescent="0.2">
      <c r="A122" s="32">
        <f t="shared" si="14"/>
        <v>2014</v>
      </c>
      <c r="B122" s="67" t="s">
        <v>16</v>
      </c>
      <c r="C122" s="116">
        <f>(Indeks!C122/Indeks!$C$40*Indeks!$C$2)/Indeks!H122*100</f>
        <v>0.64185199161971029</v>
      </c>
      <c r="D122" s="116">
        <f>(Indeks!D122/Indeks!$D$40*Indeks!$D$2)/Indeks!H122*100</f>
        <v>0.17792106931915311</v>
      </c>
      <c r="E122" s="116">
        <f>(Indeks!E122/Indeks!$E$40*Indeks!$E$2)/Indeks!H122*100</f>
        <v>8.2763550538147074E-2</v>
      </c>
      <c r="F122" s="116">
        <f>(Indeks!F122/Indeks!$F$40*Indeks!$F$2)/Indeks!H122*100</f>
        <v>8.3904058056816264E-2</v>
      </c>
      <c r="G122" s="116">
        <f>(Indeks!G122/Indeks!$G$40*Indeks!$G$2)/Indeks!H122*100</f>
        <v>1.3559330466173407E-2</v>
      </c>
      <c r="H122" s="116">
        <f>SUM(C122:G122)</f>
        <v>1</v>
      </c>
    </row>
    <row r="123" spans="1:8" ht="13.5" hidden="1" thickBot="1" x14ac:dyDescent="0.25">
      <c r="A123" s="72">
        <f t="shared" si="14"/>
        <v>2014</v>
      </c>
      <c r="B123" s="73" t="s">
        <v>17</v>
      </c>
      <c r="C123" s="93">
        <f>(Indeks!C123/Indeks!$C$40*Indeks!$C$2)/Indeks!H123*100</f>
        <v>0.64473628488000811</v>
      </c>
      <c r="D123" s="93">
        <f>(Indeks!D123/Indeks!$D$40*Indeks!$D$2)/Indeks!H123*100</f>
        <v>0.17358620045604584</v>
      </c>
      <c r="E123" s="93">
        <f>(Indeks!E123/Indeks!$E$40*Indeks!$E$2)/Indeks!H123*100</f>
        <v>8.319902471197263E-2</v>
      </c>
      <c r="F123" s="93">
        <f>(Indeks!F123/Indeks!$F$40*Indeks!$F$2)/Indeks!H123*100</f>
        <v>8.4281098110169095E-2</v>
      </c>
      <c r="G123" s="93">
        <f>(Indeks!G123/Indeks!$G$40*Indeks!$G$2)/Indeks!H123*100</f>
        <v>1.419739184180443E-2</v>
      </c>
      <c r="H123" s="93">
        <f>SUM(C123:G123)</f>
        <v>1</v>
      </c>
    </row>
    <row r="124" spans="1:8" hidden="1" x14ac:dyDescent="0.2">
      <c r="A124" s="56">
        <v>2015</v>
      </c>
      <c r="B124" s="67" t="s">
        <v>7</v>
      </c>
      <c r="C124" s="116">
        <f>(Indeks!C124/Indeks!$C$40*Indeks!$C$2)/Indeks!H124*100</f>
        <v>0.646688654429596</v>
      </c>
      <c r="D124" s="116">
        <f>(Indeks!D124/Indeks!$D$40*Indeks!$D$2)/Indeks!H124*100</f>
        <v>0.17276827629430838</v>
      </c>
      <c r="E124" s="116">
        <f>(Indeks!E124/Indeks!$E$40*Indeks!$E$2)/Indeks!H124*100</f>
        <v>8.2930360109018927E-2</v>
      </c>
      <c r="F124" s="116">
        <f>(Indeks!F124/Indeks!$F$40*Indeks!$F$2)/Indeks!H124*100</f>
        <v>8.4120560914054524E-2</v>
      </c>
      <c r="G124" s="116">
        <f>(Indeks!G124/Indeks!$G$40*Indeks!$G$2)/Indeks!H124*100</f>
        <v>1.3492148253022184E-2</v>
      </c>
      <c r="H124" s="116">
        <f t="shared" ref="H124:H135" si="15">SUM(C124:G124)</f>
        <v>0.99999999999999989</v>
      </c>
    </row>
    <row r="125" spans="1:8" hidden="1" x14ac:dyDescent="0.2">
      <c r="A125" s="32">
        <f>A124</f>
        <v>2015</v>
      </c>
      <c r="B125" s="33" t="s">
        <v>8</v>
      </c>
      <c r="C125" s="116">
        <f>(Indeks!C125/Indeks!$C$40*Indeks!$C$2)/Indeks!H125*100</f>
        <v>0.64726509746965921</v>
      </c>
      <c r="D125" s="116">
        <f>(Indeks!D125/Indeks!$D$40*Indeks!$D$2)/Indeks!H125*100</f>
        <v>0.17270380373289218</v>
      </c>
      <c r="E125" s="116">
        <f>(Indeks!E125/Indeks!$E$40*Indeks!$E$2)/Indeks!H125*100</f>
        <v>8.2813613943380771E-2</v>
      </c>
      <c r="F125" s="116">
        <f>(Indeks!F125/Indeks!$F$40*Indeks!$F$2)/Indeks!H125*100</f>
        <v>8.4521252101992975E-2</v>
      </c>
      <c r="G125" s="116">
        <f>(Indeks!G125/Indeks!$G$40*Indeks!$G$2)/Indeks!H125*100</f>
        <v>1.2696232752074947E-2</v>
      </c>
      <c r="H125" s="116">
        <f t="shared" si="15"/>
        <v>1</v>
      </c>
    </row>
    <row r="126" spans="1:8" hidden="1" x14ac:dyDescent="0.2">
      <c r="A126" s="16">
        <f t="shared" ref="A126:A135" si="16">A125</f>
        <v>2015</v>
      </c>
      <c r="B126" s="17" t="s">
        <v>9</v>
      </c>
      <c r="C126" s="117">
        <f>(Indeks!C126/Indeks!$C$40*Indeks!$C$2)/Indeks!H126*100</f>
        <v>0.6532661537260992</v>
      </c>
      <c r="D126" s="117">
        <f>(Indeks!D126/Indeks!$D$40*Indeks!$D$2)/Indeks!H126*100</f>
        <v>0.16780026941943521</v>
      </c>
      <c r="E126" s="117">
        <f>(Indeks!E126/Indeks!$E$40*Indeks!$E$2)/Indeks!H126*100</f>
        <v>8.3132394855606473E-2</v>
      </c>
      <c r="F126" s="117">
        <f>(Indeks!F126/Indeks!$F$40*Indeks!$F$2)/Indeks!H126*100</f>
        <v>8.5666516679995058E-2</v>
      </c>
      <c r="G126" s="117">
        <f>(Indeks!G126/Indeks!$G$40*Indeks!$G$2)/Indeks!H126*100</f>
        <v>1.0134665318864063E-2</v>
      </c>
      <c r="H126" s="117">
        <f t="shared" si="15"/>
        <v>1</v>
      </c>
    </row>
    <row r="127" spans="1:8" hidden="1" x14ac:dyDescent="0.2">
      <c r="A127" s="32">
        <f t="shared" si="16"/>
        <v>2015</v>
      </c>
      <c r="B127" s="33" t="s">
        <v>10</v>
      </c>
      <c r="C127" s="116">
        <f>(Indeks!C127/Indeks!$C$40*Indeks!$C$2)/Indeks!H127*100</f>
        <v>0.6502387296936144</v>
      </c>
      <c r="D127" s="116">
        <f>(Indeks!D127/Indeks!$D$40*Indeks!$D$2)/Indeks!H127*100</f>
        <v>0.17193918020664381</v>
      </c>
      <c r="E127" s="116">
        <f>(Indeks!E127/Indeks!$E$40*Indeks!$E$2)/Indeks!H127*100</f>
        <v>8.3247857371506598E-2</v>
      </c>
      <c r="F127" s="116">
        <f>(Indeks!F127/Indeks!$F$40*Indeks!$F$2)/Indeks!H127*100</f>
        <v>8.5103749508946155E-2</v>
      </c>
      <c r="G127" s="116">
        <f>(Indeks!G127/Indeks!$G$40*Indeks!$G$2)/Indeks!H127*100</f>
        <v>9.4704832192890418E-3</v>
      </c>
      <c r="H127" s="116">
        <f t="shared" si="15"/>
        <v>1</v>
      </c>
    </row>
    <row r="128" spans="1:8" hidden="1" x14ac:dyDescent="0.2">
      <c r="A128" s="32">
        <f t="shared" si="16"/>
        <v>2015</v>
      </c>
      <c r="B128" s="67" t="s">
        <v>11</v>
      </c>
      <c r="C128" s="116">
        <f>(Indeks!C128/Indeks!$C$40*Indeks!$C$2)/Indeks!H128*100</f>
        <v>0.65066974222780338</v>
      </c>
      <c r="D128" s="116">
        <f>(Indeks!D128/Indeks!$D$40*Indeks!$D$2)/Indeks!H128*100</f>
        <v>0.17052184471241313</v>
      </c>
      <c r="E128" s="116">
        <f>(Indeks!E128/Indeks!$E$40*Indeks!$E$2)/Indeks!H128*100</f>
        <v>8.3684870552199489E-2</v>
      </c>
      <c r="F128" s="116">
        <f>(Indeks!F128/Indeks!$F$40*Indeks!$F$2)/Indeks!H128*100</f>
        <v>8.5415641246165797E-2</v>
      </c>
      <c r="G128" s="116">
        <f>(Indeks!G128/Indeks!$G$40*Indeks!$G$2)/Indeks!H128*100</f>
        <v>9.7079012614180778E-3</v>
      </c>
      <c r="H128" s="116">
        <f t="shared" si="15"/>
        <v>1</v>
      </c>
    </row>
    <row r="129" spans="1:8" hidden="1" x14ac:dyDescent="0.2">
      <c r="A129" s="16">
        <f t="shared" si="16"/>
        <v>2015</v>
      </c>
      <c r="B129" s="17" t="s">
        <v>12</v>
      </c>
      <c r="C129" s="117">
        <f>(Indeks!C129/Indeks!$C$40*Indeks!$C$2)/Indeks!H129*100</f>
        <v>0.64937960027632757</v>
      </c>
      <c r="D129" s="117">
        <f>(Indeks!D129/Indeks!$D$40*Indeks!$D$2)/Indeks!H129*100</f>
        <v>0.17203949151101</v>
      </c>
      <c r="E129" s="117">
        <f>(Indeks!E129/Indeks!$E$40*Indeks!$E$2)/Indeks!H129*100</f>
        <v>8.3561561735797929E-2</v>
      </c>
      <c r="F129" s="117">
        <f>(Indeks!F129/Indeks!$F$40*Indeks!$F$2)/Indeks!H129*100</f>
        <v>8.6253422764206888E-2</v>
      </c>
      <c r="G129" s="117">
        <f>(Indeks!G129/Indeks!$G$40*Indeks!$G$2)/Indeks!H129*100</f>
        <v>8.7659237126575373E-3</v>
      </c>
      <c r="H129" s="117">
        <f t="shared" si="15"/>
        <v>0.99999999999999989</v>
      </c>
    </row>
    <row r="130" spans="1:8" hidden="1" x14ac:dyDescent="0.2">
      <c r="A130" s="12">
        <f t="shared" si="16"/>
        <v>2015</v>
      </c>
      <c r="B130" s="13" t="s">
        <v>30</v>
      </c>
      <c r="C130" s="116">
        <f>(Indeks!C130/Indeks!$C$40*Indeks!$C$2)/Indeks!H130*100</f>
        <v>0.65008053664358367</v>
      </c>
      <c r="D130" s="116">
        <f>(Indeks!D130/Indeks!$D$40*Indeks!$D$2)/Indeks!H130*100</f>
        <v>0.16887539880805327</v>
      </c>
      <c r="E130" s="116">
        <f>(Indeks!E130/Indeks!$E$40*Indeks!$E$2)/Indeks!H130*100</f>
        <v>8.3497053562163498E-2</v>
      </c>
      <c r="F130" s="116">
        <f>(Indeks!F130/Indeks!$F$40*Indeks!$F$2)/Indeks!H130*100</f>
        <v>8.6142876718298927E-2</v>
      </c>
      <c r="G130" s="116">
        <f>(Indeks!G130/Indeks!$G$40*Indeks!$G$2)/Indeks!H130*100</f>
        <v>1.1404134267900743E-2</v>
      </c>
      <c r="H130" s="116">
        <f t="shared" si="15"/>
        <v>1</v>
      </c>
    </row>
    <row r="131" spans="1:8" hidden="1" x14ac:dyDescent="0.2">
      <c r="A131" s="32">
        <f t="shared" si="16"/>
        <v>2015</v>
      </c>
      <c r="B131" s="33" t="s">
        <v>13</v>
      </c>
      <c r="C131" s="116">
        <f>(Indeks!C131/Indeks!$C$40*Indeks!$C$2)/Indeks!H131*100</f>
        <v>0.64909188524170558</v>
      </c>
      <c r="D131" s="116">
        <f>(Indeks!D131/Indeks!$D$40*Indeks!$D$2)/Indeks!H131*100</f>
        <v>0.16861857078388823</v>
      </c>
      <c r="E131" s="116">
        <f>(Indeks!E131/Indeks!$E$40*Indeks!$E$2)/Indeks!H131*100</f>
        <v>8.334838022009626E-2</v>
      </c>
      <c r="F131" s="116">
        <f>(Indeks!F131/Indeks!$F$40*Indeks!$F$2)/Indeks!H131*100</f>
        <v>8.617415599528537E-2</v>
      </c>
      <c r="G131" s="116">
        <f>(Indeks!G131/Indeks!$G$40*Indeks!$G$2)/Indeks!H131*100</f>
        <v>1.276700775902468E-2</v>
      </c>
      <c r="H131" s="116">
        <f t="shared" si="15"/>
        <v>1</v>
      </c>
    </row>
    <row r="132" spans="1:8" hidden="1" x14ac:dyDescent="0.2">
      <c r="A132" s="16">
        <f t="shared" si="16"/>
        <v>2015</v>
      </c>
      <c r="B132" s="17" t="s">
        <v>14</v>
      </c>
      <c r="C132" s="117">
        <f>(Indeks!C132/Indeks!$C$40*Indeks!$C$2)/Indeks!H132*100</f>
        <v>0.64954858824943751</v>
      </c>
      <c r="D132" s="117">
        <f>(Indeks!D132/Indeks!$D$40*Indeks!$D$2)/Indeks!H132*100</f>
        <v>0.16928187630040686</v>
      </c>
      <c r="E132" s="117">
        <f>(Indeks!E132/Indeks!$E$40*Indeks!$E$2)/Indeks!H132*100</f>
        <v>8.3343645193882307E-2</v>
      </c>
      <c r="F132" s="117">
        <f>(Indeks!F132/Indeks!$F$40*Indeks!$F$2)/Indeks!H132*100</f>
        <v>8.6315988757010603E-2</v>
      </c>
      <c r="G132" s="117">
        <f>(Indeks!G132/Indeks!$G$40*Indeks!$G$2)/Indeks!H132*100</f>
        <v>1.1509901499262747E-2</v>
      </c>
      <c r="H132" s="117">
        <f t="shared" si="15"/>
        <v>1</v>
      </c>
    </row>
    <row r="133" spans="1:8" hidden="1" x14ac:dyDescent="0.2">
      <c r="A133" s="32">
        <f t="shared" si="16"/>
        <v>2015</v>
      </c>
      <c r="B133" s="33" t="s">
        <v>15</v>
      </c>
      <c r="C133" s="116">
        <f>(Indeks!C133/Indeks!$C$40*Indeks!$C$2)/Indeks!H133*100</f>
        <v>0.65206652491806005</v>
      </c>
      <c r="D133" s="116">
        <f>(Indeks!D133/Indeks!$D$40*Indeks!$D$2)/Indeks!H133*100</f>
        <v>0.16620152576287769</v>
      </c>
      <c r="E133" s="116">
        <f>(Indeks!E133/Indeks!$E$40*Indeks!$E$2)/Indeks!H133*100</f>
        <v>8.3020615690947749E-2</v>
      </c>
      <c r="F133" s="116">
        <f>(Indeks!F133/Indeks!$F$40*Indeks!$F$2)/Indeks!H133*100</f>
        <v>8.6406042177728778E-2</v>
      </c>
      <c r="G133" s="116">
        <f>(Indeks!G133/Indeks!$G$40*Indeks!$G$2)/Indeks!H133*100</f>
        <v>1.230529145038568E-2</v>
      </c>
      <c r="H133" s="116">
        <f t="shared" si="15"/>
        <v>1</v>
      </c>
    </row>
    <row r="134" spans="1:8" hidden="1" x14ac:dyDescent="0.2">
      <c r="A134" s="32">
        <f t="shared" si="16"/>
        <v>2015</v>
      </c>
      <c r="B134" s="67" t="s">
        <v>16</v>
      </c>
      <c r="C134" s="116">
        <f>(Indeks!C134/Indeks!$C$40*Indeks!$C$2)/Indeks!H134*100</f>
        <v>0.6524195558066348</v>
      </c>
      <c r="D134" s="116">
        <f>(Indeks!D134/Indeks!$D$40*Indeks!$D$2)/Indeks!H134*100</f>
        <v>0.16498469830551318</v>
      </c>
      <c r="E134" s="116">
        <f>(Indeks!E134/Indeks!$E$40*Indeks!$E$2)/Indeks!H134*100</f>
        <v>8.3255644696672293E-2</v>
      </c>
      <c r="F134" s="116">
        <f>(Indeks!F134/Indeks!$F$40*Indeks!$F$2)/Indeks!H134*100</f>
        <v>8.6452822683524652E-2</v>
      </c>
      <c r="G134" s="116">
        <f>(Indeks!G134/Indeks!$G$40*Indeks!$G$2)/Indeks!H134*100</f>
        <v>1.2887278507655253E-2</v>
      </c>
      <c r="H134" s="116">
        <f t="shared" si="15"/>
        <v>1.0000000000000002</v>
      </c>
    </row>
    <row r="135" spans="1:8" hidden="1" x14ac:dyDescent="0.2">
      <c r="A135" s="16">
        <f t="shared" si="16"/>
        <v>2015</v>
      </c>
      <c r="B135" s="17" t="s">
        <v>17</v>
      </c>
      <c r="C135" s="117">
        <f>(Indeks!C135/Indeks!$C$40*Indeks!$C$2)/Indeks!H135*100</f>
        <v>0.65403890580732915</v>
      </c>
      <c r="D135" s="117">
        <f>(Indeks!D135/Indeks!$D$40*Indeks!$D$2)/Indeks!H135*100</f>
        <v>0.16321077981761048</v>
      </c>
      <c r="E135" s="117">
        <f>(Indeks!E135/Indeks!$E$40*Indeks!$E$2)/Indeks!H135*100</f>
        <v>8.3462290906304498E-2</v>
      </c>
      <c r="F135" s="117">
        <f>(Indeks!F135/Indeks!$F$40*Indeks!$F$2)/Indeks!H135*100</f>
        <v>8.6830160197008385E-2</v>
      </c>
      <c r="G135" s="117">
        <f>(Indeks!G135/Indeks!$G$40*Indeks!$G$2)/Indeks!H135*100</f>
        <v>1.2457863271747442E-2</v>
      </c>
      <c r="H135" s="117">
        <f t="shared" si="15"/>
        <v>1</v>
      </c>
    </row>
    <row r="136" spans="1:8" hidden="1" x14ac:dyDescent="0.2">
      <c r="A136" s="56">
        <v>2016</v>
      </c>
      <c r="B136" s="67" t="s">
        <v>7</v>
      </c>
      <c r="C136" s="116">
        <f>(Indeks!C136/Indeks!$C$40*Indeks!$C$2)/Indeks!H136*100</f>
        <v>0.65630908309545288</v>
      </c>
      <c r="D136" s="116">
        <f>(Indeks!D136/Indeks!$D$40*Indeks!$D$2)/Indeks!H136*100</f>
        <v>0.16162815769811334</v>
      </c>
      <c r="E136" s="116">
        <f>(Indeks!E136/Indeks!$E$40*Indeks!$E$2)/Indeks!H136*100</f>
        <v>8.3236515610625464E-2</v>
      </c>
      <c r="F136" s="116">
        <f>(Indeks!F136/Indeks!$F$40*Indeks!$F$2)/Indeks!H136*100</f>
        <v>8.6941092988940344E-2</v>
      </c>
      <c r="G136" s="116">
        <f>(Indeks!G136/Indeks!$G$40*Indeks!$G$2)/Indeks!H136*100</f>
        <v>1.1885150606867899E-2</v>
      </c>
      <c r="H136" s="116">
        <f t="shared" ref="H136:H147" si="17">SUM(C136:G136)</f>
        <v>1</v>
      </c>
    </row>
    <row r="137" spans="1:8" hidden="1" x14ac:dyDescent="0.2">
      <c r="A137" s="32">
        <f>A136</f>
        <v>2016</v>
      </c>
      <c r="B137" s="33" t="s">
        <v>8</v>
      </c>
      <c r="C137" s="116">
        <f>(Indeks!C137/Indeks!$C$40*Indeks!$C$2)/Indeks!H137*100</f>
        <v>0.65827686089174875</v>
      </c>
      <c r="D137" s="116">
        <f>(Indeks!D137/Indeks!$D$40*Indeks!$D$2)/Indeks!H137*100</f>
        <v>0.15838854706399497</v>
      </c>
      <c r="E137" s="116">
        <f>(Indeks!E137/Indeks!$E$40*Indeks!$E$2)/Indeks!H137*100</f>
        <v>8.3517628126570514E-2</v>
      </c>
      <c r="F137" s="116">
        <f>(Indeks!F137/Indeks!$F$40*Indeks!$F$2)/Indeks!H137*100</f>
        <v>8.7201764000169435E-2</v>
      </c>
      <c r="G137" s="116">
        <f>(Indeks!G137/Indeks!$G$40*Indeks!$G$2)/Indeks!H137*100</f>
        <v>1.2615199917516445E-2</v>
      </c>
      <c r="H137" s="116">
        <f t="shared" si="17"/>
        <v>1</v>
      </c>
    </row>
    <row r="138" spans="1:8" hidden="1" x14ac:dyDescent="0.2">
      <c r="A138" s="16">
        <f t="shared" ref="A138:A147" si="18">A137</f>
        <v>2016</v>
      </c>
      <c r="B138" s="17" t="s">
        <v>9</v>
      </c>
      <c r="C138" s="117">
        <f>(Indeks!C138/Indeks!$C$40*Indeks!$C$2)/Indeks!H138*100</f>
        <v>0.66092633262927258</v>
      </c>
      <c r="D138" s="117">
        <f>(Indeks!D138/Indeks!$D$40*Indeks!$D$2)/Indeks!H138*100</f>
        <v>0.15528683721602263</v>
      </c>
      <c r="E138" s="117">
        <f>(Indeks!E138/Indeks!$E$40*Indeks!$E$2)/Indeks!H138*100</f>
        <v>8.3486138782833452E-2</v>
      </c>
      <c r="F138" s="117">
        <f>(Indeks!F138/Indeks!$F$40*Indeks!$F$2)/Indeks!H138*100</f>
        <v>8.7634717049798902E-2</v>
      </c>
      <c r="G138" s="117">
        <f>(Indeks!G138/Indeks!$G$40*Indeks!$G$2)/Indeks!H138*100</f>
        <v>1.2665974322072298E-2</v>
      </c>
      <c r="H138" s="117">
        <f t="shared" si="17"/>
        <v>0.99999999999999978</v>
      </c>
    </row>
    <row r="139" spans="1:8" hidden="1" x14ac:dyDescent="0.2">
      <c r="A139" s="32">
        <f t="shared" si="18"/>
        <v>2016</v>
      </c>
      <c r="B139" s="33" t="s">
        <v>10</v>
      </c>
      <c r="C139" s="116">
        <f>(Indeks!C139/Indeks!$C$40*Indeks!$C$2)/Indeks!H139*100</f>
        <v>0.66488979571871121</v>
      </c>
      <c r="D139" s="116">
        <f>(Indeks!D139/Indeks!$D$40*Indeks!$D$2)/Indeks!H139*100</f>
        <v>0.15186414734818537</v>
      </c>
      <c r="E139" s="116">
        <f>(Indeks!E139/Indeks!$E$40*Indeks!$E$2)/Indeks!H139*100</f>
        <v>8.4249660448919572E-2</v>
      </c>
      <c r="F139" s="116">
        <f>(Indeks!F139/Indeks!$F$40*Indeks!$F$2)/Indeks!H139*100</f>
        <v>8.7817744676206053E-2</v>
      </c>
      <c r="G139" s="116">
        <f>(Indeks!G139/Indeks!$G$40*Indeks!$G$2)/Indeks!H139*100</f>
        <v>1.1178651807977716E-2</v>
      </c>
      <c r="H139" s="116">
        <f t="shared" si="17"/>
        <v>1</v>
      </c>
    </row>
    <row r="140" spans="1:8" hidden="1" x14ac:dyDescent="0.2">
      <c r="A140" s="32">
        <f t="shared" si="18"/>
        <v>2016</v>
      </c>
      <c r="B140" s="67" t="s">
        <v>11</v>
      </c>
      <c r="C140" s="116">
        <f>(Indeks!C140/Indeks!$C$40*Indeks!$C$2)/Indeks!H140*100</f>
        <v>0.66651412175314761</v>
      </c>
      <c r="D140" s="116">
        <f>(Indeks!D140/Indeks!$D$40*Indeks!$D$2)/Indeks!H140*100</f>
        <v>0.15090944628213743</v>
      </c>
      <c r="E140" s="116">
        <f>(Indeks!E140/Indeks!$E$40*Indeks!$E$2)/Indeks!H140*100</f>
        <v>8.4539853514075877E-2</v>
      </c>
      <c r="F140" s="116">
        <f>(Indeks!F140/Indeks!$F$40*Indeks!$F$2)/Indeks!H140*100</f>
        <v>8.8114633586098973E-2</v>
      </c>
      <c r="G140" s="116">
        <f>(Indeks!G140/Indeks!$G$40*Indeks!$G$2)/Indeks!H140*100</f>
        <v>9.9219448645400995E-3</v>
      </c>
      <c r="H140" s="116">
        <f t="shared" si="17"/>
        <v>1</v>
      </c>
    </row>
    <row r="141" spans="1:8" hidden="1" x14ac:dyDescent="0.2">
      <c r="A141" s="16">
        <f t="shared" si="18"/>
        <v>2016</v>
      </c>
      <c r="B141" s="17" t="s">
        <v>12</v>
      </c>
      <c r="C141" s="117">
        <f>(Indeks!C141/Indeks!$C$40*Indeks!$C$2)/Indeks!H141*100</f>
        <v>0.66589719700431371</v>
      </c>
      <c r="D141" s="117">
        <f>(Indeks!D141/Indeks!$D$40*Indeks!$D$2)/Indeks!H141*100</f>
        <v>0.15154237692619837</v>
      </c>
      <c r="E141" s="117">
        <f>(Indeks!E141/Indeks!$E$40*Indeks!$E$2)/Indeks!H141*100</f>
        <v>8.4545896534756249E-2</v>
      </c>
      <c r="F141" s="117">
        <f>(Indeks!F141/Indeks!$F$40*Indeks!$F$2)/Indeks!H141*100</f>
        <v>8.7868526973415143E-2</v>
      </c>
      <c r="G141" s="117">
        <f>(Indeks!G141/Indeks!$G$40*Indeks!$G$2)/Indeks!H141*100</f>
        <v>1.0146002561316472E-2</v>
      </c>
      <c r="H141" s="117">
        <f t="shared" si="17"/>
        <v>1</v>
      </c>
    </row>
    <row r="142" spans="1:8" hidden="1" x14ac:dyDescent="0.2">
      <c r="A142" s="12">
        <f t="shared" si="18"/>
        <v>2016</v>
      </c>
      <c r="B142" s="13" t="s">
        <v>30</v>
      </c>
      <c r="C142" s="116">
        <f>(Indeks!C142/Indeks!$C$40*Indeks!$C$2)/Indeks!H142*100</f>
        <v>0.66801711986602408</v>
      </c>
      <c r="D142" s="116">
        <f>(Indeks!D142/Indeks!$D$40*Indeks!$D$2)/Indeks!H142*100</f>
        <v>0.15021129987163093</v>
      </c>
      <c r="E142" s="116">
        <f>(Indeks!E142/Indeks!$E$40*Indeks!$E$2)/Indeks!H142*100</f>
        <v>8.4524447175768E-2</v>
      </c>
      <c r="F142" s="116">
        <f>(Indeks!F142/Indeks!$F$40*Indeks!$F$2)/Indeks!H142*100</f>
        <v>8.7589326942005719E-2</v>
      </c>
      <c r="G142" s="116">
        <f>(Indeks!G142/Indeks!$G$40*Indeks!$G$2)/Indeks!H142*100</f>
        <v>9.6578061445711915E-3</v>
      </c>
      <c r="H142" s="116">
        <f t="shared" si="17"/>
        <v>1</v>
      </c>
    </row>
    <row r="143" spans="1:8" hidden="1" x14ac:dyDescent="0.2">
      <c r="A143" s="32">
        <f t="shared" si="18"/>
        <v>2016</v>
      </c>
      <c r="B143" s="33" t="s">
        <v>13</v>
      </c>
      <c r="C143" s="116">
        <f>(Indeks!C143/Indeks!$C$40*Indeks!$C$2)/Indeks!H143*100</f>
        <v>0.66781869324124088</v>
      </c>
      <c r="D143" s="116">
        <f>(Indeks!D143/Indeks!$D$40*Indeks!$D$2)/Indeks!H143*100</f>
        <v>0.15280891037032415</v>
      </c>
      <c r="E143" s="116">
        <f>(Indeks!E143/Indeks!$E$40*Indeks!$E$2)/Indeks!H143*100</f>
        <v>8.458341912880428E-2</v>
      </c>
      <c r="F143" s="116">
        <f>(Indeks!F143/Indeks!$F$40*Indeks!$F$2)/Indeks!H143*100</f>
        <v>8.7809504435365032E-2</v>
      </c>
      <c r="G143" s="116">
        <f>(Indeks!G143/Indeks!$G$40*Indeks!$G$2)/Indeks!H143*100</f>
        <v>6.9794728242657976E-3</v>
      </c>
      <c r="H143" s="116">
        <f t="shared" si="17"/>
        <v>1.0000000000000002</v>
      </c>
    </row>
    <row r="144" spans="1:8" hidden="1" x14ac:dyDescent="0.2">
      <c r="A144" s="16">
        <f t="shared" si="18"/>
        <v>2016</v>
      </c>
      <c r="B144" s="17" t="s">
        <v>14</v>
      </c>
      <c r="C144" s="117">
        <f>(Indeks!C144/Indeks!$C$40*Indeks!$C$2)/Indeks!H144*100</f>
        <v>0.66767925586608157</v>
      </c>
      <c r="D144" s="117">
        <f>(Indeks!D144/Indeks!$D$40*Indeks!$D$2)/Indeks!H144*100</f>
        <v>0.15255686481865863</v>
      </c>
      <c r="E144" s="117">
        <f>(Indeks!E144/Indeks!$E$40*Indeks!$E$2)/Indeks!H144*100</f>
        <v>8.4481697121964794E-2</v>
      </c>
      <c r="F144" s="117">
        <f>(Indeks!F144/Indeks!$F$40*Indeks!$F$2)/Indeks!H144*100</f>
        <v>8.7955265872673355E-2</v>
      </c>
      <c r="G144" s="117">
        <f>(Indeks!G144/Indeks!$G$40*Indeks!$G$2)/Indeks!H144*100</f>
        <v>7.3269163206216847E-3</v>
      </c>
      <c r="H144" s="117">
        <f t="shared" si="17"/>
        <v>1</v>
      </c>
    </row>
    <row r="145" spans="1:8" hidden="1" x14ac:dyDescent="0.2">
      <c r="A145" s="32">
        <f t="shared" si="18"/>
        <v>2016</v>
      </c>
      <c r="B145" s="33" t="s">
        <v>15</v>
      </c>
      <c r="C145" s="116">
        <f>(Indeks!C145/Indeks!$C$40*Indeks!$C$2)/Indeks!H145*100</f>
        <v>0.67283794143392539</v>
      </c>
      <c r="D145" s="116">
        <f>(Indeks!D145/Indeks!$D$40*Indeks!$D$2)/Indeks!H145*100</f>
        <v>0.14706396256435272</v>
      </c>
      <c r="E145" s="116">
        <f>(Indeks!E145/Indeks!$E$40*Indeks!$E$2)/Indeks!H145*100</f>
        <v>8.4488539641651067E-2</v>
      </c>
      <c r="F145" s="116">
        <f>(Indeks!F145/Indeks!$F$40*Indeks!$F$2)/Indeks!H145*100</f>
        <v>8.8143450039165253E-2</v>
      </c>
      <c r="G145" s="116">
        <f>(Indeks!G145/Indeks!$G$40*Indeks!$G$2)/Indeks!H145*100</f>
        <v>7.4661063209054378E-3</v>
      </c>
      <c r="H145" s="116">
        <f t="shared" si="17"/>
        <v>0.99999999999999978</v>
      </c>
    </row>
    <row r="146" spans="1:8" hidden="1" x14ac:dyDescent="0.2">
      <c r="A146" s="32">
        <f t="shared" si="18"/>
        <v>2016</v>
      </c>
      <c r="B146" s="67" t="s">
        <v>16</v>
      </c>
      <c r="C146" s="116">
        <f>(Indeks!C146/Indeks!$C$40*Indeks!$C$2)/Indeks!H146*100</f>
        <v>0.67289049720161909</v>
      </c>
      <c r="D146" s="116">
        <f>(Indeks!D146/Indeks!$D$40*Indeks!$D$2)/Indeks!H146*100</f>
        <v>0.14784836884761277</v>
      </c>
      <c r="E146" s="116">
        <f>(Indeks!E146/Indeks!$E$40*Indeks!$E$2)/Indeks!H146*100</f>
        <v>8.4495139091219459E-2</v>
      </c>
      <c r="F146" s="116">
        <f>(Indeks!F146/Indeks!$F$40*Indeks!$F$2)/Indeks!H146*100</f>
        <v>8.8232641544541385E-2</v>
      </c>
      <c r="G146" s="116">
        <f>(Indeks!G146/Indeks!$G$40*Indeks!$G$2)/Indeks!H146*100</f>
        <v>6.5333533150071675E-3</v>
      </c>
      <c r="H146" s="116">
        <f t="shared" si="17"/>
        <v>0.99999999999999978</v>
      </c>
    </row>
    <row r="147" spans="1:8" hidden="1" x14ac:dyDescent="0.2">
      <c r="A147" s="16">
        <f t="shared" si="18"/>
        <v>2016</v>
      </c>
      <c r="B147" s="17" t="s">
        <v>17</v>
      </c>
      <c r="C147" s="117">
        <f>(Indeks!C147/Indeks!$C$40*Indeks!$C$2)/Indeks!H147*100</f>
        <v>0.66592606410457311</v>
      </c>
      <c r="D147" s="117">
        <f>(Indeks!D147/Indeks!$D$40*Indeks!$D$2)/Indeks!H147*100</f>
        <v>0.15407660179814656</v>
      </c>
      <c r="E147" s="117">
        <f>(Indeks!E147/Indeks!$E$40*Indeks!$E$2)/Indeks!H147*100</f>
        <v>8.3787519745717326E-2</v>
      </c>
      <c r="F147" s="117">
        <f>(Indeks!F147/Indeks!$F$40*Indeks!$F$2)/Indeks!H147*100</f>
        <v>8.7319431547419862E-2</v>
      </c>
      <c r="G147" s="117">
        <f>(Indeks!G147/Indeks!$G$40*Indeks!$G$2)/Indeks!H147*100</f>
        <v>8.89038280414302E-3</v>
      </c>
      <c r="H147" s="117">
        <f t="shared" si="17"/>
        <v>0.99999999999999978</v>
      </c>
    </row>
    <row r="148" spans="1:8" hidden="1" x14ac:dyDescent="0.2">
      <c r="A148" s="8">
        <v>2017</v>
      </c>
      <c r="B148" s="67" t="s">
        <v>7</v>
      </c>
      <c r="C148" s="116">
        <f>(Indeks!C148/Indeks!$C$40*Indeks!$C$2)/Indeks!H148*100</f>
        <v>0.6618529672404716</v>
      </c>
      <c r="D148" s="116">
        <f>(Indeks!D148/Indeks!$D$40*Indeks!$D$2)/Indeks!H148*100</f>
        <v>0.15990438018291889</v>
      </c>
      <c r="E148" s="116">
        <f>(Indeks!E148/Indeks!$E$40*Indeks!$E$2)/Indeks!H148*100</f>
        <v>8.2873351477463025E-2</v>
      </c>
      <c r="F148" s="116">
        <f>(Indeks!F148/Indeks!$F$40*Indeks!$F$2)/Indeks!H148*100</f>
        <v>8.6452836567283087E-2</v>
      </c>
      <c r="G148" s="116">
        <f>(Indeks!G148/Indeks!$G$40*Indeks!$G$2)/Indeks!H148*100</f>
        <v>8.9164645318634272E-3</v>
      </c>
      <c r="H148" s="116">
        <f t="shared" ref="H148:H159" si="19">SUM(C148:G148)</f>
        <v>1</v>
      </c>
    </row>
    <row r="149" spans="1:8" hidden="1" x14ac:dyDescent="0.2">
      <c r="A149" s="12">
        <f>A148</f>
        <v>2017</v>
      </c>
      <c r="B149" s="33" t="s">
        <v>8</v>
      </c>
      <c r="C149" s="116">
        <f>(Indeks!C149/Indeks!$C$40*Indeks!$C$2)/Indeks!H149*100</f>
        <v>0.66330992633699704</v>
      </c>
      <c r="D149" s="116">
        <f>(Indeks!D149/Indeks!$D$40*Indeks!$D$2)/Indeks!H149*100</f>
        <v>0.15872439485767711</v>
      </c>
      <c r="E149" s="116">
        <f>(Indeks!E149/Indeks!$E$40*Indeks!$E$2)/Indeks!H149*100</f>
        <v>8.3048459217629572E-2</v>
      </c>
      <c r="F149" s="116">
        <f>(Indeks!F149/Indeks!$F$40*Indeks!$F$2)/Indeks!H149*100</f>
        <v>8.6554690896875341E-2</v>
      </c>
      <c r="G149" s="116">
        <f>(Indeks!G149/Indeks!$G$40*Indeks!$G$2)/Indeks!H149*100</f>
        <v>8.3625286908210125E-3</v>
      </c>
      <c r="H149" s="116">
        <f t="shared" si="19"/>
        <v>1.0000000000000002</v>
      </c>
    </row>
    <row r="150" spans="1:8" hidden="1" x14ac:dyDescent="0.2">
      <c r="A150" s="16">
        <f t="shared" ref="A150:A159" si="20">A149</f>
        <v>2017</v>
      </c>
      <c r="B150" s="17" t="s">
        <v>9</v>
      </c>
      <c r="C150" s="117">
        <f>(Indeks!C150/Indeks!$C$40*Indeks!$C$2)/Indeks!H150*100</f>
        <v>0.65924597539291108</v>
      </c>
      <c r="D150" s="117">
        <f>(Indeks!D150/Indeks!$D$40*Indeks!$D$2)/Indeks!H150*100</f>
        <v>0.16238535019881328</v>
      </c>
      <c r="E150" s="117">
        <f>(Indeks!E150/Indeks!$E$40*Indeks!$E$2)/Indeks!H150*100</f>
        <v>8.2539639960082525E-2</v>
      </c>
      <c r="F150" s="117">
        <f>(Indeks!F150/Indeks!$F$40*Indeks!$F$2)/Indeks!H150*100</f>
        <v>8.6265354422461415E-2</v>
      </c>
      <c r="G150" s="117">
        <f>(Indeks!G150/Indeks!$G$40*Indeks!$G$2)/Indeks!H150*100</f>
        <v>9.5636800257317169E-3</v>
      </c>
      <c r="H150" s="117">
        <f t="shared" si="19"/>
        <v>1</v>
      </c>
    </row>
    <row r="151" spans="1:8" hidden="1" x14ac:dyDescent="0.2">
      <c r="A151" s="32">
        <f t="shared" si="20"/>
        <v>2017</v>
      </c>
      <c r="B151" s="33" t="s">
        <v>10</v>
      </c>
      <c r="C151" s="116">
        <f>(Indeks!C151/Indeks!$C$40*Indeks!$C$2)/Indeks!H151*100</f>
        <v>0.6607162005345989</v>
      </c>
      <c r="D151" s="116">
        <f>(Indeks!D151/Indeks!$D$40*Indeks!$D$2)/Indeks!H151*100</f>
        <v>0.16126437611372063</v>
      </c>
      <c r="E151" s="116">
        <f>(Indeks!E151/Indeks!$E$40*Indeks!$E$2)/Indeks!H151*100</f>
        <v>8.300922907391424E-2</v>
      </c>
      <c r="F151" s="116">
        <f>(Indeks!F151/Indeks!$F$40*Indeks!$F$2)/Indeks!H151*100</f>
        <v>8.6149781763744243E-2</v>
      </c>
      <c r="G151" s="116">
        <f>(Indeks!G151/Indeks!$G$40*Indeks!$G$2)/Indeks!H151*100</f>
        <v>8.860412514021785E-3</v>
      </c>
      <c r="H151" s="116">
        <f t="shared" si="19"/>
        <v>0.99999999999999978</v>
      </c>
    </row>
    <row r="152" spans="1:8" hidden="1" x14ac:dyDescent="0.2">
      <c r="A152" s="32">
        <f t="shared" si="20"/>
        <v>2017</v>
      </c>
      <c r="B152" s="67" t="s">
        <v>11</v>
      </c>
      <c r="C152" s="116">
        <f>(Indeks!C152/Indeks!$C$40*Indeks!$C$2)/Indeks!H152*100</f>
        <v>0.66636703459192703</v>
      </c>
      <c r="D152" s="116">
        <f>(Indeks!D152/Indeks!$D$40*Indeks!$D$2)/Indeks!H152*100</f>
        <v>0.1549451401062909</v>
      </c>
      <c r="E152" s="116">
        <f>(Indeks!E152/Indeks!$E$40*Indeks!$E$2)/Indeks!H152*100</f>
        <v>8.38019811687091E-2</v>
      </c>
      <c r="F152" s="116">
        <f>(Indeks!F152/Indeks!$F$40*Indeks!$F$2)/Indeks!H152*100</f>
        <v>8.720988435543707E-2</v>
      </c>
      <c r="G152" s="116">
        <f>(Indeks!G152/Indeks!$G$40*Indeks!$G$2)/Indeks!H152*100</f>
        <v>7.6759597776358129E-3</v>
      </c>
      <c r="H152" s="116">
        <f t="shared" si="19"/>
        <v>0.99999999999999989</v>
      </c>
    </row>
    <row r="153" spans="1:8" hidden="1" x14ac:dyDescent="0.2">
      <c r="A153" s="16">
        <f t="shared" si="20"/>
        <v>2017</v>
      </c>
      <c r="B153" s="17" t="s">
        <v>12</v>
      </c>
      <c r="C153" s="117">
        <f>(Indeks!C153/Indeks!$C$40*Indeks!$C$2)/Indeks!H153*100</f>
        <v>0.66503378131358648</v>
      </c>
      <c r="D153" s="117">
        <f>(Indeks!D153/Indeks!$D$40*Indeks!$D$2)/Indeks!H153*100</f>
        <v>0.1557172503657229</v>
      </c>
      <c r="E153" s="117">
        <f>(Indeks!E153/Indeks!$E$40*Indeks!$E$2)/Indeks!H153*100</f>
        <v>8.3799597112295718E-2</v>
      </c>
      <c r="F153" s="117">
        <f>(Indeks!F153/Indeks!$F$40*Indeks!$F$2)/Indeks!H153*100</f>
        <v>8.6874070599533545E-2</v>
      </c>
      <c r="G153" s="117">
        <f>(Indeks!G153/Indeks!$G$40*Indeks!$G$2)/Indeks!H153*100</f>
        <v>8.5753006088614501E-3</v>
      </c>
      <c r="H153" s="117">
        <f t="shared" si="19"/>
        <v>1</v>
      </c>
    </row>
    <row r="154" spans="1:8" hidden="1" x14ac:dyDescent="0.2">
      <c r="A154" s="12">
        <f t="shared" si="20"/>
        <v>2017</v>
      </c>
      <c r="B154" s="13" t="s">
        <v>30</v>
      </c>
      <c r="C154" s="116">
        <f>(Indeks!C154/Indeks!$C$40*Indeks!$C$2)/Indeks!H154*100</f>
        <v>0.66631768730730667</v>
      </c>
      <c r="D154" s="116">
        <f>(Indeks!D154/Indeks!$D$40*Indeks!$D$2)/Indeks!H154*100</f>
        <v>0.15457993593575975</v>
      </c>
      <c r="E154" s="116">
        <f>(Indeks!E154/Indeks!$E$40*Indeks!$E$2)/Indeks!H154*100</f>
        <v>8.3687073827209107E-2</v>
      </c>
      <c r="F154" s="116">
        <f>(Indeks!F154/Indeks!$F$40*Indeks!$F$2)/Indeks!H154*100</f>
        <v>8.6843063061097694E-2</v>
      </c>
      <c r="G154" s="116">
        <f>(Indeks!G154/Indeks!$G$40*Indeks!$G$2)/Indeks!H154*100</f>
        <v>8.5722398686268412E-3</v>
      </c>
      <c r="H154" s="116">
        <f t="shared" si="19"/>
        <v>1</v>
      </c>
    </row>
    <row r="155" spans="1:8" hidden="1" x14ac:dyDescent="0.2">
      <c r="A155" s="32">
        <f t="shared" si="20"/>
        <v>2017</v>
      </c>
      <c r="B155" s="33" t="s">
        <v>13</v>
      </c>
      <c r="C155" s="116">
        <f>(Indeks!C155/Indeks!$C$40*Indeks!$C$2)/Indeks!H155*100</f>
        <v>0.66745718887850181</v>
      </c>
      <c r="D155" s="116">
        <f>(Indeks!D155/Indeks!$D$40*Indeks!$D$2)/Indeks!H155*100</f>
        <v>0.15408578096666745</v>
      </c>
      <c r="E155" s="116">
        <f>(Indeks!E155/Indeks!$E$40*Indeks!$E$2)/Indeks!H155*100</f>
        <v>8.374743668874858E-2</v>
      </c>
      <c r="F155" s="116">
        <f>(Indeks!F155/Indeks!$F$40*Indeks!$F$2)/Indeks!H155*100</f>
        <v>8.7153121761960814E-2</v>
      </c>
      <c r="G155" s="116">
        <f>(Indeks!G155/Indeks!$G$40*Indeks!$G$2)/Indeks!H155*100</f>
        <v>7.5564717041212634E-3</v>
      </c>
      <c r="H155" s="116">
        <f t="shared" si="19"/>
        <v>0.99999999999999989</v>
      </c>
    </row>
    <row r="156" spans="1:8" hidden="1" x14ac:dyDescent="0.2">
      <c r="A156" s="63">
        <f t="shared" si="20"/>
        <v>2017</v>
      </c>
      <c r="B156" s="64" t="s">
        <v>14</v>
      </c>
      <c r="C156" s="117">
        <f>(Indeks!C156/Indeks!$C$40*Indeks!$C$2)/Indeks!H156*100</f>
        <v>0.66784312356082176</v>
      </c>
      <c r="D156" s="117">
        <f>(Indeks!D156/Indeks!$D$40*Indeks!$D$2)/Indeks!H156*100</f>
        <v>0.1528738220848079</v>
      </c>
      <c r="E156" s="117">
        <f>(Indeks!E156/Indeks!$E$40*Indeks!$E$2)/Indeks!H156*100</f>
        <v>8.4458278700935724E-2</v>
      </c>
      <c r="F156" s="117">
        <f>(Indeks!F156/Indeks!$F$40*Indeks!$F$2)/Indeks!H156*100</f>
        <v>8.7607609263561884E-2</v>
      </c>
      <c r="G156" s="117">
        <f>(Indeks!G156/Indeks!$G$40*Indeks!$G$2)/Indeks!H156*100</f>
        <v>7.2171663898729079E-3</v>
      </c>
      <c r="H156" s="117">
        <f t="shared" si="19"/>
        <v>1.0000000000000002</v>
      </c>
    </row>
    <row r="157" spans="1:8" hidden="1" x14ac:dyDescent="0.2">
      <c r="A157" s="32">
        <f t="shared" si="20"/>
        <v>2017</v>
      </c>
      <c r="B157" s="33" t="s">
        <v>15</v>
      </c>
      <c r="C157" s="116">
        <f>(Indeks!C157/Indeks!$C$40*Indeks!$C$2)/Indeks!H157*100</f>
        <v>0.668782076044102</v>
      </c>
      <c r="D157" s="116">
        <f>(Indeks!D157/Indeks!$D$40*Indeks!$D$2)/Indeks!H157*100</f>
        <v>0.15378109607095117</v>
      </c>
      <c r="E157" s="116">
        <f>(Indeks!E157/Indeks!$E$40*Indeks!$E$2)/Indeks!H157*100</f>
        <v>8.3817959460845456E-2</v>
      </c>
      <c r="F157" s="116">
        <f>(Indeks!F157/Indeks!$F$40*Indeks!$F$2)/Indeks!H157*100</f>
        <v>8.7119440967517767E-2</v>
      </c>
      <c r="G157" s="116">
        <f>(Indeks!G157/Indeks!$G$40*Indeks!$G$2)/Indeks!H157*100</f>
        <v>6.4994274565835959E-3</v>
      </c>
      <c r="H157" s="116">
        <f t="shared" si="19"/>
        <v>1</v>
      </c>
    </row>
    <row r="158" spans="1:8" hidden="1" x14ac:dyDescent="0.2">
      <c r="A158" s="32">
        <f t="shared" si="20"/>
        <v>2017</v>
      </c>
      <c r="B158" s="67" t="s">
        <v>16</v>
      </c>
      <c r="C158" s="116">
        <f>(Indeks!C158/Indeks!$C$40*Indeks!$C$2)/Indeks!H158*100</f>
        <v>0.66698334230639855</v>
      </c>
      <c r="D158" s="116">
        <f>(Indeks!D158/Indeks!$D$40*Indeks!$D$2)/Indeks!H158*100</f>
        <v>0.15670390722357305</v>
      </c>
      <c r="E158" s="116">
        <f>(Indeks!E158/Indeks!$E$40*Indeks!$E$2)/Indeks!H158*100</f>
        <v>8.3674720708234673E-2</v>
      </c>
      <c r="F158" s="116">
        <f>(Indeks!F158/Indeks!$F$40*Indeks!$F$2)/Indeks!H158*100</f>
        <v>8.6724674772224827E-2</v>
      </c>
      <c r="G158" s="116">
        <f>(Indeks!G158/Indeks!$G$40*Indeks!$G$2)/Indeks!H158*100</f>
        <v>5.9133549895687941E-3</v>
      </c>
      <c r="H158" s="116">
        <f t="shared" si="19"/>
        <v>0.99999999999999989</v>
      </c>
    </row>
    <row r="159" spans="1:8" hidden="1" x14ac:dyDescent="0.2">
      <c r="A159" s="16">
        <f t="shared" si="20"/>
        <v>2017</v>
      </c>
      <c r="B159" s="17" t="s">
        <v>17</v>
      </c>
      <c r="C159" s="117">
        <f>(Indeks!C159/Indeks!$C$40*Indeks!$C$2)/Indeks!H159*100</f>
        <v>0.66502450046538031</v>
      </c>
      <c r="D159" s="117">
        <f>(Indeks!D159/Indeks!$D$40*Indeks!$D$2)/Indeks!H159*100</f>
        <v>0.15753141128650705</v>
      </c>
      <c r="E159" s="117">
        <f>(Indeks!E159/Indeks!$E$40*Indeks!$E$2)/Indeks!H159*100</f>
        <v>8.3510932933390375E-2</v>
      </c>
      <c r="F159" s="117">
        <f>(Indeks!F159/Indeks!$F$40*Indeks!$F$2)/Indeks!H159*100</f>
        <v>8.6789938783196699E-2</v>
      </c>
      <c r="G159" s="117">
        <f>(Indeks!G159/Indeks!$G$40*Indeks!$G$2)/Indeks!H159*100</f>
        <v>7.1432165315253324E-3</v>
      </c>
      <c r="H159" s="117">
        <f t="shared" si="19"/>
        <v>0.99999999999999989</v>
      </c>
    </row>
    <row r="160" spans="1:8" hidden="1" x14ac:dyDescent="0.2">
      <c r="A160" s="8">
        <v>2018</v>
      </c>
      <c r="B160" s="67" t="s">
        <v>7</v>
      </c>
      <c r="C160" s="116">
        <f>(Indeks!C160/Indeks!$C$40*Indeks!$C$2)/Indeks!H160*100</f>
        <v>0.66375641980004274</v>
      </c>
      <c r="D160" s="116">
        <f>(Indeks!D160/Indeks!$D$40*Indeks!$D$2)/Indeks!H160*100</f>
        <v>0.15970565863350497</v>
      </c>
      <c r="E160" s="116">
        <f>(Indeks!E160/Indeks!$E$40*Indeks!$E$2)/Indeks!H160*100</f>
        <v>8.266856946685161E-2</v>
      </c>
      <c r="F160" s="116">
        <f>(Indeks!F160/Indeks!$F$40*Indeks!$F$2)/Indeks!H160*100</f>
        <v>8.6327020341410848E-2</v>
      </c>
      <c r="G160" s="116">
        <f>(Indeks!G160/Indeks!$G$40*Indeks!$G$2)/Indeks!H160*100</f>
        <v>7.5423317581898713E-3</v>
      </c>
      <c r="H160" s="116">
        <f t="shared" ref="H160:H171" si="21">SUM(C160:G160)</f>
        <v>1</v>
      </c>
    </row>
    <row r="161" spans="1:8" hidden="1" x14ac:dyDescent="0.2">
      <c r="A161" s="12">
        <f>A160</f>
        <v>2018</v>
      </c>
      <c r="B161" s="33" t="s">
        <v>8</v>
      </c>
      <c r="C161" s="116">
        <f>(Indeks!C161/Indeks!$C$40*Indeks!$C$2)/Indeks!H161*100</f>
        <v>0.66302264684285683</v>
      </c>
      <c r="D161" s="116">
        <f>(Indeks!D161/Indeks!$D$40*Indeks!$D$2)/Indeks!H161*100</f>
        <v>0.1618704274850146</v>
      </c>
      <c r="E161" s="116">
        <f>(Indeks!E161/Indeks!$E$40*Indeks!$E$2)/Indeks!H161*100</f>
        <v>8.2333350321874374E-2</v>
      </c>
      <c r="F161" s="116">
        <f>(Indeks!F161/Indeks!$F$40*Indeks!$F$2)/Indeks!H161*100</f>
        <v>8.5914267542719081E-2</v>
      </c>
      <c r="G161" s="116">
        <f>(Indeks!G161/Indeks!$G$40*Indeks!$G$2)/Indeks!H161*100</f>
        <v>6.859307807534889E-3</v>
      </c>
      <c r="H161" s="116">
        <f t="shared" si="21"/>
        <v>0.99999999999999967</v>
      </c>
    </row>
    <row r="162" spans="1:8" hidden="1" x14ac:dyDescent="0.2">
      <c r="A162" s="16">
        <f t="shared" ref="A162:A171" si="22">A161</f>
        <v>2018</v>
      </c>
      <c r="B162" s="17" t="s">
        <v>9</v>
      </c>
      <c r="C162" s="117">
        <f>(Indeks!C162/Indeks!$C$40*Indeks!$C$2)/Indeks!H162*100</f>
        <v>0.66377756299329116</v>
      </c>
      <c r="D162" s="117">
        <f>(Indeks!D162/Indeks!$D$40*Indeks!$D$2)/Indeks!H162*100</f>
        <v>0.15843220754672774</v>
      </c>
      <c r="E162" s="117">
        <f>(Indeks!E162/Indeks!$E$40*Indeks!$E$2)/Indeks!H162*100</f>
        <v>8.2182987014101774E-2</v>
      </c>
      <c r="F162" s="117">
        <f>(Indeks!F162/Indeks!$F$40*Indeks!$F$2)/Indeks!H162*100</f>
        <v>8.648861061235405E-2</v>
      </c>
      <c r="G162" s="117">
        <f>(Indeks!G162/Indeks!$G$40*Indeks!$G$2)/Indeks!H162*100</f>
        <v>9.1186318335252335E-3</v>
      </c>
      <c r="H162" s="117">
        <f t="shared" si="21"/>
        <v>0.99999999999999989</v>
      </c>
    </row>
    <row r="163" spans="1:8" hidden="1" x14ac:dyDescent="0.2">
      <c r="A163" s="32">
        <f t="shared" si="22"/>
        <v>2018</v>
      </c>
      <c r="B163" s="33" t="s">
        <v>10</v>
      </c>
      <c r="C163" s="116">
        <f>(Indeks!C163/Indeks!$C$40*Indeks!$C$2)/Indeks!H163*100</f>
        <v>0.66265268547174594</v>
      </c>
      <c r="D163" s="116">
        <f>(Indeks!D163/Indeks!$D$40*Indeks!$D$2)/Indeks!H163*100</f>
        <v>0.16032600777348857</v>
      </c>
      <c r="E163" s="116">
        <f>(Indeks!E163/Indeks!$E$40*Indeks!$E$2)/Indeks!H163*100</f>
        <v>8.2302693135406668E-2</v>
      </c>
      <c r="F163" s="116">
        <f>(Indeks!F163/Indeks!$F$40*Indeks!$F$2)/Indeks!H163*100</f>
        <v>8.6097409395346922E-2</v>
      </c>
      <c r="G163" s="116">
        <f>(Indeks!G163/Indeks!$G$40*Indeks!$G$2)/Indeks!H163*100</f>
        <v>8.621204224011806E-3</v>
      </c>
      <c r="H163" s="116">
        <f t="shared" si="21"/>
        <v>1</v>
      </c>
    </row>
    <row r="164" spans="1:8" hidden="1" x14ac:dyDescent="0.2">
      <c r="A164" s="32">
        <f t="shared" si="22"/>
        <v>2018</v>
      </c>
      <c r="B164" s="67" t="s">
        <v>11</v>
      </c>
      <c r="C164" s="116">
        <f>(Indeks!C164/Indeks!$C$40*Indeks!$C$2)/Indeks!H164*100</f>
        <v>0.65528184445284454</v>
      </c>
      <c r="D164" s="116">
        <f>(Indeks!D164/Indeks!$D$40*Indeks!$D$2)/Indeks!H164*100</f>
        <v>0.17132667264009718</v>
      </c>
      <c r="E164" s="116">
        <f>(Indeks!E164/Indeks!$E$40*Indeks!$E$2)/Indeks!H164*100</f>
        <v>8.1387221003732385E-2</v>
      </c>
      <c r="F164" s="116">
        <f>(Indeks!F164/Indeks!$F$40*Indeks!$F$2)/Indeks!H164*100</f>
        <v>8.5139727745961333E-2</v>
      </c>
      <c r="G164" s="116">
        <f>(Indeks!G164/Indeks!$G$40*Indeks!$G$2)/Indeks!H164*100</f>
        <v>6.8645341573644629E-3</v>
      </c>
      <c r="H164" s="116">
        <f t="shared" si="21"/>
        <v>0.99999999999999989</v>
      </c>
    </row>
    <row r="165" spans="1:8" hidden="1" x14ac:dyDescent="0.2">
      <c r="A165" s="16">
        <f t="shared" si="22"/>
        <v>2018</v>
      </c>
      <c r="B165" s="17" t="s">
        <v>12</v>
      </c>
      <c r="C165" s="117">
        <f>(Indeks!C165/Indeks!$C$40*Indeks!$C$2)/Indeks!H165*100</f>
        <v>0.66100613758501658</v>
      </c>
      <c r="D165" s="117">
        <f>(Indeks!D165/Indeks!$D$40*Indeks!$D$2)/Indeks!H165*100</f>
        <v>0.16204167918845044</v>
      </c>
      <c r="E165" s="117">
        <f>(Indeks!E165/Indeks!$E$40*Indeks!$E$2)/Indeks!H165*100</f>
        <v>8.2501818079551148E-2</v>
      </c>
      <c r="F165" s="117">
        <f>(Indeks!F165/Indeks!$F$40*Indeks!$F$2)/Indeks!H165*100</f>
        <v>8.5962268227314675E-2</v>
      </c>
      <c r="G165" s="117">
        <f>(Indeks!G165/Indeks!$G$40*Indeks!$G$2)/Indeks!H165*100</f>
        <v>8.4880969196672595E-3</v>
      </c>
      <c r="H165" s="117">
        <f t="shared" si="21"/>
        <v>1.0000000000000002</v>
      </c>
    </row>
    <row r="166" spans="1:8" hidden="1" x14ac:dyDescent="0.2">
      <c r="A166" s="12">
        <f t="shared" si="22"/>
        <v>2018</v>
      </c>
      <c r="B166" s="13" t="s">
        <v>30</v>
      </c>
      <c r="C166" s="116">
        <f>(Indeks!C166/Indeks!$C$40*Indeks!$C$2)/Indeks!H166*100</f>
        <v>0.66017648756160374</v>
      </c>
      <c r="D166" s="116">
        <f>(Indeks!D166/Indeks!$D$40*Indeks!$D$2)/Indeks!H166*100</f>
        <v>0.16542262193017504</v>
      </c>
      <c r="E166" s="116">
        <f>(Indeks!E166/Indeks!$E$40*Indeks!$E$2)/Indeks!H166*100</f>
        <v>8.2189846978055092E-2</v>
      </c>
      <c r="F166" s="116">
        <f>(Indeks!F166/Indeks!$F$40*Indeks!$F$2)/Indeks!H166*100</f>
        <v>8.5548292580951382E-2</v>
      </c>
      <c r="G166" s="116">
        <f>(Indeks!G166/Indeks!$G$40*Indeks!$G$2)/Indeks!H166*100</f>
        <v>6.6627509492146932E-3</v>
      </c>
      <c r="H166" s="116">
        <f t="shared" si="21"/>
        <v>0.99999999999999989</v>
      </c>
    </row>
    <row r="167" spans="1:8" hidden="1" x14ac:dyDescent="0.2">
      <c r="A167" s="32">
        <f t="shared" si="22"/>
        <v>2018</v>
      </c>
      <c r="B167" s="33" t="s">
        <v>13</v>
      </c>
      <c r="C167" s="116">
        <f>(Indeks!C167/Indeks!$C$40*Indeks!$C$2)/Indeks!H167*100</f>
        <v>0.66056623755840993</v>
      </c>
      <c r="D167" s="116">
        <f>(Indeks!D167/Indeks!$D$40*Indeks!$D$2)/Indeks!H167*100</f>
        <v>0.16657187299264137</v>
      </c>
      <c r="E167" s="116">
        <f>(Indeks!E167/Indeks!$E$40*Indeks!$E$2)/Indeks!H167*100</f>
        <v>8.215805868987873E-2</v>
      </c>
      <c r="F167" s="116">
        <f>(Indeks!F167/Indeks!$F$40*Indeks!$F$2)/Indeks!H167*100</f>
        <v>8.4814926158320009E-2</v>
      </c>
      <c r="G167" s="116">
        <f>(Indeks!G167/Indeks!$G$40*Indeks!$G$2)/Indeks!H167*100</f>
        <v>5.8889046007499484E-3</v>
      </c>
      <c r="H167" s="116">
        <f t="shared" si="21"/>
        <v>1</v>
      </c>
    </row>
    <row r="168" spans="1:8" hidden="1" x14ac:dyDescent="0.2">
      <c r="A168" s="16">
        <f t="shared" si="22"/>
        <v>2018</v>
      </c>
      <c r="B168" s="17" t="s">
        <v>14</v>
      </c>
      <c r="C168" s="117">
        <f>(Indeks!C168/Indeks!$C$40*Indeks!$C$2)/Indeks!H168*100</f>
        <v>0.65910044798766154</v>
      </c>
      <c r="D168" s="117">
        <f>(Indeks!D168/Indeks!$D$40*Indeks!$D$2)/Indeks!H168*100</f>
        <v>0.16620225174903211</v>
      </c>
      <c r="E168" s="117">
        <f>(Indeks!E168/Indeks!$E$40*Indeks!$E$2)/Indeks!H168*100</f>
        <v>8.2616812407095272E-2</v>
      </c>
      <c r="F168" s="117">
        <f>(Indeks!F168/Indeks!$F$40*Indeks!$F$2)/Indeks!H168*100</f>
        <v>8.5096002148061275E-2</v>
      </c>
      <c r="G168" s="117">
        <f>(Indeks!G168/Indeks!$G$40*Indeks!$G$2)/Indeks!H168*100</f>
        <v>6.9844857081497198E-3</v>
      </c>
      <c r="H168" s="117">
        <f t="shared" si="21"/>
        <v>0.99999999999999989</v>
      </c>
    </row>
    <row r="169" spans="1:8" hidden="1" x14ac:dyDescent="0.2">
      <c r="A169" s="32">
        <f t="shared" si="22"/>
        <v>2018</v>
      </c>
      <c r="B169" s="33" t="s">
        <v>15</v>
      </c>
      <c r="C169" s="116">
        <f>(Indeks!C169/Indeks!$C$40*Indeks!$C$2)/Indeks!H169*100</f>
        <v>0.65777037998220744</v>
      </c>
      <c r="D169" s="116">
        <f>(Indeks!D169/Indeks!$D$40*Indeks!$D$2)/Indeks!H169*100</f>
        <v>0.16916875121130645</v>
      </c>
      <c r="E169" s="116">
        <f>(Indeks!E169/Indeks!$E$40*Indeks!$E$2)/Indeks!H169*100</f>
        <v>8.1401240966584271E-2</v>
      </c>
      <c r="F169" s="116">
        <f>(Indeks!F169/Indeks!$F$40*Indeks!$F$2)/Indeks!H169*100</f>
        <v>8.4093149605378517E-2</v>
      </c>
      <c r="G169" s="116">
        <f>(Indeks!G169/Indeks!$G$40*Indeks!$G$2)/Indeks!H169*100</f>
        <v>7.5664782345235332E-3</v>
      </c>
      <c r="H169" s="116">
        <f t="shared" si="21"/>
        <v>1.0000000000000002</v>
      </c>
    </row>
    <row r="170" spans="1:8" hidden="1" x14ac:dyDescent="0.2">
      <c r="A170" s="32">
        <f t="shared" si="22"/>
        <v>2018</v>
      </c>
      <c r="B170" s="67" t="s">
        <v>16</v>
      </c>
      <c r="C170" s="116">
        <f>(Indeks!C170/Indeks!$C$40*Indeks!$C$2)/Indeks!H170*100</f>
        <v>0.65273672317835607</v>
      </c>
      <c r="D170" s="116">
        <f>(Indeks!D170/Indeks!$D$40*Indeks!$D$2)/Indeks!H170*100</f>
        <v>0.17642236351670582</v>
      </c>
      <c r="E170" s="116">
        <f>(Indeks!E170/Indeks!$E$40*Indeks!$E$2)/Indeks!H170*100</f>
        <v>8.0542345531770393E-2</v>
      </c>
      <c r="F170" s="116">
        <f>(Indeks!F170/Indeks!$F$40*Indeks!$F$2)/Indeks!H170*100</f>
        <v>8.3987012004272193E-2</v>
      </c>
      <c r="G170" s="116">
        <f>(Indeks!G170/Indeks!$G$40*Indeks!$G$2)/Indeks!H170*100</f>
        <v>6.3115557688955756E-3</v>
      </c>
      <c r="H170" s="116">
        <f t="shared" si="21"/>
        <v>1</v>
      </c>
    </row>
    <row r="171" spans="1:8" hidden="1" x14ac:dyDescent="0.2">
      <c r="A171" s="16">
        <f t="shared" si="22"/>
        <v>2018</v>
      </c>
      <c r="B171" s="17" t="s">
        <v>17</v>
      </c>
      <c r="C171" s="117">
        <f>(Indeks!C171/Indeks!$C$40*Indeks!$C$2)/Indeks!H171*100</f>
        <v>0.65501386326949229</v>
      </c>
      <c r="D171" s="117">
        <f>(Indeks!D171/Indeks!$D$40*Indeks!$D$2)/Indeks!H171*100</f>
        <v>0.17249044977965575</v>
      </c>
      <c r="E171" s="117">
        <f>(Indeks!E171/Indeks!$E$40*Indeks!$E$2)/Indeks!H171*100</f>
        <v>8.1060112986382118E-2</v>
      </c>
      <c r="F171" s="117">
        <f>(Indeks!F171/Indeks!$F$40*Indeks!$F$2)/Indeks!H171*100</f>
        <v>8.4665201448615182E-2</v>
      </c>
      <c r="G171" s="117">
        <f>(Indeks!G171/Indeks!$G$40*Indeks!$G$2)/Indeks!H171*100</f>
        <v>6.7703725158547645E-3</v>
      </c>
      <c r="H171" s="117">
        <f t="shared" si="21"/>
        <v>1.0000000000000002</v>
      </c>
    </row>
    <row r="172" spans="1:8" hidden="1" x14ac:dyDescent="0.2">
      <c r="A172" s="8">
        <v>2019</v>
      </c>
      <c r="B172" s="67" t="s">
        <v>7</v>
      </c>
      <c r="C172" s="116">
        <f>(Indeks!C172/Indeks!$C$40*Indeks!$C$2)/Indeks!H172*100</f>
        <v>0.65657093021922885</v>
      </c>
      <c r="D172" s="116">
        <f>(Indeks!D172/Indeks!$D$40*Indeks!$D$2)/Indeks!H172*100</f>
        <v>0.1714146031478109</v>
      </c>
      <c r="E172" s="116">
        <f>(Indeks!E172/Indeks!$E$40*Indeks!$E$2)/Indeks!H172*100</f>
        <v>8.0657507640718315E-2</v>
      </c>
      <c r="F172" s="116">
        <f>(Indeks!F172/Indeks!$F$40*Indeks!$F$2)/Indeks!H172*100</f>
        <v>8.4491501145302864E-2</v>
      </c>
      <c r="G172" s="116">
        <f>(Indeks!G172/Indeks!$G$40*Indeks!$G$2)/Indeks!H172*100</f>
        <v>6.8654578469390945E-3</v>
      </c>
      <c r="H172" s="116">
        <f t="shared" ref="H172:H183" si="23">SUM(C172:G172)</f>
        <v>1</v>
      </c>
    </row>
    <row r="173" spans="1:8" hidden="1" x14ac:dyDescent="0.2">
      <c r="A173" s="12">
        <f>A172</f>
        <v>2019</v>
      </c>
      <c r="B173" s="33" t="s">
        <v>8</v>
      </c>
      <c r="C173" s="116">
        <f>(Indeks!C173/Indeks!$C$40*Indeks!$C$2)/Indeks!H173*100</f>
        <v>0.65832146493995014</v>
      </c>
      <c r="D173" s="116">
        <f>(Indeks!D173/Indeks!$D$40*Indeks!$D$2)/Indeks!H173*100</f>
        <v>0.16959654926574683</v>
      </c>
      <c r="E173" s="116">
        <f>(Indeks!E173/Indeks!$E$40*Indeks!$E$2)/Indeks!H173*100</f>
        <v>8.0635623569419654E-2</v>
      </c>
      <c r="F173" s="116">
        <f>(Indeks!F173/Indeks!$F$40*Indeks!$F$2)/Indeks!H173*100</f>
        <v>8.4562599847875189E-2</v>
      </c>
      <c r="G173" s="116">
        <f>(Indeks!G173/Indeks!$G$40*Indeks!$G$2)/Indeks!H173*100</f>
        <v>6.8837623770082249E-3</v>
      </c>
      <c r="H173" s="116">
        <f t="shared" si="23"/>
        <v>1</v>
      </c>
    </row>
    <row r="174" spans="1:8" hidden="1" x14ac:dyDescent="0.2">
      <c r="A174" s="16">
        <f t="shared" ref="A174:A183" si="24">A173</f>
        <v>2019</v>
      </c>
      <c r="B174" s="17" t="s">
        <v>9</v>
      </c>
      <c r="C174" s="117">
        <f>(Indeks!C174/Indeks!$C$40*Indeks!$C$2)/Indeks!H174*100</f>
        <v>0.6631602318685369</v>
      </c>
      <c r="D174" s="117">
        <f>(Indeks!D174/Indeks!$D$40*Indeks!$D$2)/Indeks!H174*100</f>
        <v>0.16303016359948708</v>
      </c>
      <c r="E174" s="117">
        <f>(Indeks!E174/Indeks!$E$40*Indeks!$E$2)/Indeks!H174*100</f>
        <v>8.1387423358207325E-2</v>
      </c>
      <c r="F174" s="117">
        <f>(Indeks!F174/Indeks!$F$40*Indeks!$F$2)/Indeks!H174*100</f>
        <v>8.4937476092246764E-2</v>
      </c>
      <c r="G174" s="117">
        <f>(Indeks!G174/Indeks!$G$40*Indeks!$G$2)/Indeks!H174*100</f>
        <v>7.4847050815220542E-3</v>
      </c>
      <c r="H174" s="117">
        <f t="shared" si="23"/>
        <v>1.0000000000000002</v>
      </c>
    </row>
    <row r="175" spans="1:8" hidden="1" x14ac:dyDescent="0.2">
      <c r="A175" s="32">
        <f t="shared" si="24"/>
        <v>2019</v>
      </c>
      <c r="B175" s="33" t="s">
        <v>10</v>
      </c>
      <c r="C175" s="116">
        <f>(Indeks!C175/Indeks!$C$40*Indeks!$C$2)/Indeks!H175*100</f>
        <v>0.67059064645193844</v>
      </c>
      <c r="D175" s="116">
        <f>(Indeks!D175/Indeks!$D$40*Indeks!$D$2)/Indeks!H175*100</f>
        <v>0.15521716763497745</v>
      </c>
      <c r="E175" s="116">
        <f>(Indeks!E175/Indeks!$E$40*Indeks!$E$2)/Indeks!H175*100</f>
        <v>8.2337788229302419E-2</v>
      </c>
      <c r="F175" s="116">
        <f>(Indeks!F175/Indeks!$F$40*Indeks!$F$2)/Indeks!H175*100</f>
        <v>8.5759689928609148E-2</v>
      </c>
      <c r="G175" s="116">
        <f>(Indeks!G175/Indeks!$G$40*Indeks!$G$2)/Indeks!H175*100</f>
        <v>6.094707755172497E-3</v>
      </c>
      <c r="H175" s="116">
        <f t="shared" si="23"/>
        <v>0.99999999999999989</v>
      </c>
    </row>
    <row r="176" spans="1:8" hidden="1" x14ac:dyDescent="0.2">
      <c r="A176" s="32">
        <f t="shared" si="24"/>
        <v>2019</v>
      </c>
      <c r="B176" s="67" t="s">
        <v>11</v>
      </c>
      <c r="C176" s="116">
        <f>(Indeks!C176/Indeks!$C$40*Indeks!$C$2)/Indeks!H176*100</f>
        <v>0.67415741202359336</v>
      </c>
      <c r="D176" s="116">
        <f>(Indeks!D176/Indeks!$D$40*Indeks!$D$2)/Indeks!H176*100</f>
        <v>0.15056016032765523</v>
      </c>
      <c r="E176" s="116">
        <f>(Indeks!E176/Indeks!$E$40*Indeks!$E$2)/Indeks!H176*100</f>
        <v>8.2856251038394987E-2</v>
      </c>
      <c r="F176" s="116">
        <f>(Indeks!F176/Indeks!$F$40*Indeks!$F$2)/Indeks!H176*100</f>
        <v>8.6299052068720364E-2</v>
      </c>
      <c r="G176" s="116">
        <f>(Indeks!G176/Indeks!$G$40*Indeks!$G$2)/Indeks!H176*100</f>
        <v>6.1271245416359889E-3</v>
      </c>
      <c r="H176" s="116">
        <f t="shared" si="23"/>
        <v>0.99999999999999989</v>
      </c>
    </row>
    <row r="177" spans="1:8" hidden="1" x14ac:dyDescent="0.2">
      <c r="A177" s="16">
        <f t="shared" si="24"/>
        <v>2019</v>
      </c>
      <c r="B177" s="17" t="s">
        <v>12</v>
      </c>
      <c r="C177" s="117">
        <f>(Indeks!C177/Indeks!$C$40*Indeks!$C$2)/Indeks!H177*100</f>
        <v>0.67473848885603482</v>
      </c>
      <c r="D177" s="117">
        <f>(Indeks!D177/Indeks!$D$40*Indeks!$D$2)/Indeks!H177*100</f>
        <v>0.1484739042989329</v>
      </c>
      <c r="E177" s="117">
        <f>(Indeks!E177/Indeks!$E$40*Indeks!$E$2)/Indeks!H177*100</f>
        <v>8.3169438992918052E-2</v>
      </c>
      <c r="F177" s="117">
        <f>(Indeks!F177/Indeks!$F$40*Indeks!$F$2)/Indeks!H177*100</f>
        <v>8.7039769013374263E-2</v>
      </c>
      <c r="G177" s="117">
        <f>(Indeks!G177/Indeks!$G$40*Indeks!$G$2)/Indeks!H177*100</f>
        <v>6.5783988387399161E-3</v>
      </c>
      <c r="H177" s="117">
        <f t="shared" si="23"/>
        <v>1</v>
      </c>
    </row>
    <row r="178" spans="1:8" hidden="1" x14ac:dyDescent="0.2">
      <c r="A178" s="12">
        <f t="shared" si="24"/>
        <v>2019</v>
      </c>
      <c r="B178" s="13" t="s">
        <v>30</v>
      </c>
      <c r="C178" s="116">
        <f>(Indeks!C178/Indeks!$C$40*Indeks!$C$2)/Indeks!H178*100</f>
        <v>0.67799670606392315</v>
      </c>
      <c r="D178" s="116">
        <f>(Indeks!D178/Indeks!$D$40*Indeks!$D$2)/Indeks!H178*100</f>
        <v>0.14484312949690234</v>
      </c>
      <c r="E178" s="116">
        <f>(Indeks!E178/Indeks!$E$40*Indeks!$E$2)/Indeks!H178*100</f>
        <v>8.3367832583747525E-2</v>
      </c>
      <c r="F178" s="116">
        <f>(Indeks!F178/Indeks!$F$40*Indeks!$F$2)/Indeks!H178*100</f>
        <v>8.7415590305248814E-2</v>
      </c>
      <c r="G178" s="116">
        <f>(Indeks!G178/Indeks!$G$40*Indeks!$G$2)/Indeks!H178*100</f>
        <v>6.3767415501780906E-3</v>
      </c>
      <c r="H178" s="116">
        <f t="shared" si="23"/>
        <v>0.99999999999999989</v>
      </c>
    </row>
    <row r="179" spans="1:8" hidden="1" x14ac:dyDescent="0.2">
      <c r="A179" s="32">
        <f t="shared" si="24"/>
        <v>2019</v>
      </c>
      <c r="B179" s="33" t="s">
        <v>13</v>
      </c>
      <c r="C179" s="116">
        <f>(Indeks!C179/Indeks!$C$40*Indeks!$C$2)/Indeks!H179*100</f>
        <v>0.68528065126837556</v>
      </c>
      <c r="D179" s="116">
        <f>(Indeks!D179/Indeks!$D$40*Indeks!$D$2)/Indeks!H179*100</f>
        <v>0.13751681836505666</v>
      </c>
      <c r="E179" s="116">
        <f>(Indeks!E179/Indeks!$E$40*Indeks!$E$2)/Indeks!H179*100</f>
        <v>8.4100021360204794E-2</v>
      </c>
      <c r="F179" s="116">
        <f>(Indeks!F179/Indeks!$F$40*Indeks!$F$2)/Indeks!H179*100</f>
        <v>8.8692601785024153E-2</v>
      </c>
      <c r="G179" s="116">
        <f>(Indeks!G179/Indeks!$G$40*Indeks!$G$2)/Indeks!H179*100</f>
        <v>4.4099072213388711E-3</v>
      </c>
      <c r="H179" s="116">
        <f t="shared" si="23"/>
        <v>1</v>
      </c>
    </row>
    <row r="180" spans="1:8" hidden="1" x14ac:dyDescent="0.2">
      <c r="A180" s="16">
        <f t="shared" si="24"/>
        <v>2019</v>
      </c>
      <c r="B180" s="17" t="s">
        <v>14</v>
      </c>
      <c r="C180" s="117">
        <f>(Indeks!C180/Indeks!$C$40*Indeks!$C$2)/Indeks!H180*100</f>
        <v>0.68687303615959694</v>
      </c>
      <c r="D180" s="117">
        <f>(Indeks!D180/Indeks!$D$40*Indeks!$D$2)/Indeks!H180*100</f>
        <v>0.13654917799085231</v>
      </c>
      <c r="E180" s="117">
        <f>(Indeks!E180/Indeks!$E$40*Indeks!$E$2)/Indeks!H180*100</f>
        <v>8.4786962990105172E-2</v>
      </c>
      <c r="F180" s="117">
        <f>(Indeks!F180/Indeks!$F$40*Indeks!$F$2)/Indeks!H180*100</f>
        <v>8.8390704004495529E-2</v>
      </c>
      <c r="G180" s="117">
        <f>(Indeks!G180/Indeks!$G$40*Indeks!$G$2)/Indeks!H180*100</f>
        <v>3.4001188549501534E-3</v>
      </c>
      <c r="H180" s="117">
        <f t="shared" si="23"/>
        <v>1</v>
      </c>
    </row>
    <row r="181" spans="1:8" hidden="1" x14ac:dyDescent="0.2">
      <c r="A181" s="32">
        <f t="shared" si="24"/>
        <v>2019</v>
      </c>
      <c r="B181" s="33" t="s">
        <v>15</v>
      </c>
      <c r="C181" s="116">
        <f>(Indeks!C181/Indeks!$C$40*Indeks!$C$2)/Indeks!H181*100</f>
        <v>0.69021798137691115</v>
      </c>
      <c r="D181" s="116">
        <f>(Indeks!D181/Indeks!$D$40*Indeks!$D$2)/Indeks!H181*100</f>
        <v>0.13548500225633542</v>
      </c>
      <c r="E181" s="116">
        <f>(Indeks!E181/Indeks!$E$40*Indeks!$E$2)/Indeks!H181*100</f>
        <v>8.413150885536104E-2</v>
      </c>
      <c r="F181" s="116">
        <f>(Indeks!F181/Indeks!$F$40*Indeks!$F$2)/Indeks!H181*100</f>
        <v>8.7794661093717113E-2</v>
      </c>
      <c r="G181" s="116">
        <f>(Indeks!G181/Indeks!$G$40*Indeks!$G$2)/Indeks!H181*100</f>
        <v>2.3708464176752939E-3</v>
      </c>
      <c r="H181" s="116">
        <f t="shared" si="23"/>
        <v>1</v>
      </c>
    </row>
    <row r="182" spans="1:8" hidden="1" x14ac:dyDescent="0.2">
      <c r="A182" s="32">
        <f t="shared" si="24"/>
        <v>2019</v>
      </c>
      <c r="B182" s="67" t="s">
        <v>16</v>
      </c>
      <c r="C182" s="116">
        <f>(Indeks!C182/Indeks!$C$40*Indeks!$C$2)/Indeks!H182*100</f>
        <v>0.68932110324407125</v>
      </c>
      <c r="D182" s="116">
        <f>(Indeks!D182/Indeks!$D$40*Indeks!$D$2)/Indeks!H182*100</f>
        <v>0.13637605659394475</v>
      </c>
      <c r="E182" s="116">
        <f>(Indeks!E182/Indeks!$E$40*Indeks!$E$2)/Indeks!H182*100</f>
        <v>8.3859195655477878E-2</v>
      </c>
      <c r="F182" s="116">
        <f>(Indeks!F182/Indeks!$F$40*Indeks!$F$2)/Indeks!H182*100</f>
        <v>8.7512125056882745E-2</v>
      </c>
      <c r="G182" s="116">
        <f>(Indeks!G182/Indeks!$G$40*Indeks!$G$2)/Indeks!H182*100</f>
        <v>2.9315194496232848E-3</v>
      </c>
      <c r="H182" s="116">
        <f t="shared" si="23"/>
        <v>1</v>
      </c>
    </row>
    <row r="183" spans="1:8" hidden="1" x14ac:dyDescent="0.2">
      <c r="A183" s="16">
        <f t="shared" si="24"/>
        <v>2019</v>
      </c>
      <c r="B183" s="17" t="s">
        <v>17</v>
      </c>
      <c r="C183" s="117">
        <f>(Indeks!C183/Indeks!$C$40*Indeks!$C$2)/Indeks!H183*100</f>
        <v>0.68646941314006138</v>
      </c>
      <c r="D183" s="117">
        <f>(Indeks!D183/Indeks!$D$40*Indeks!$D$2)/Indeks!H183*100</f>
        <v>0.1388936781515068</v>
      </c>
      <c r="E183" s="117">
        <f>(Indeks!E183/Indeks!$E$40*Indeks!$E$2)/Indeks!H183*100</f>
        <v>8.3836908660735746E-2</v>
      </c>
      <c r="F183" s="117">
        <f>(Indeks!F183/Indeks!$F$40*Indeks!$F$2)/Indeks!H183*100</f>
        <v>8.6982333734224745E-2</v>
      </c>
      <c r="G183" s="117">
        <f>(Indeks!G183/Indeks!$G$40*Indeks!$G$2)/Indeks!H183*100</f>
        <v>3.8176663134712793E-3</v>
      </c>
      <c r="H183" s="117">
        <f t="shared" si="23"/>
        <v>0.99999999999999989</v>
      </c>
    </row>
    <row r="184" spans="1:8" hidden="1" x14ac:dyDescent="0.2">
      <c r="A184" s="8">
        <v>2020</v>
      </c>
      <c r="B184" s="67" t="s">
        <v>7</v>
      </c>
      <c r="C184" s="116">
        <f>(Indeks!C184/Indeks!$C$40*Indeks!$C$2)/Indeks!H184*100</f>
        <v>0.68076560182300727</v>
      </c>
      <c r="D184" s="116">
        <f>(Indeks!D184/Indeks!$D$40*Indeks!$D$2)/Indeks!H184*100</f>
        <v>0.14826059223244559</v>
      </c>
      <c r="E184" s="116">
        <f>(Indeks!E184/Indeks!$E$40*Indeks!$E$2)/Indeks!H184*100</f>
        <v>8.2500389551374204E-2</v>
      </c>
      <c r="F184" s="116">
        <f>(Indeks!F184/Indeks!$F$40*Indeks!$F$2)/Indeks!H184*100</f>
        <v>8.5927118069346026E-2</v>
      </c>
      <c r="G184" s="116">
        <f>(Indeks!G184/Indeks!$G$40*Indeks!$G$2)/Indeks!H184*100</f>
        <v>2.5462983238267877E-3</v>
      </c>
      <c r="H184" s="116">
        <f t="shared" ref="H184:H195" si="25">SUM(C184:G184)</f>
        <v>0.99999999999999989</v>
      </c>
    </row>
    <row r="185" spans="1:8" hidden="1" x14ac:dyDescent="0.2">
      <c r="A185" s="12">
        <f>A184</f>
        <v>2020</v>
      </c>
      <c r="B185" s="33" t="s">
        <v>8</v>
      </c>
      <c r="C185" s="116">
        <f>(Indeks!C185/Indeks!$C$40*Indeks!$C$2)/Indeks!H185*100</f>
        <v>0.68262538742102175</v>
      </c>
      <c r="D185" s="116">
        <f>(Indeks!D185/Indeks!$D$40*Indeks!$D$2)/Indeks!H185*100</f>
        <v>0.14456812797759228</v>
      </c>
      <c r="E185" s="116">
        <f>(Indeks!E185/Indeks!$E$40*Indeks!$E$2)/Indeks!H185*100</f>
        <v>8.2565295848574388E-2</v>
      </c>
      <c r="F185" s="116">
        <f>(Indeks!F185/Indeks!$F$40*Indeks!$F$2)/Indeks!H185*100</f>
        <v>8.6244790304988647E-2</v>
      </c>
      <c r="G185" s="116">
        <f>(Indeks!G185/Indeks!$G$40*Indeks!$G$2)/Indeks!H185*100</f>
        <v>3.9963984478228664E-3</v>
      </c>
      <c r="H185" s="116">
        <f t="shared" si="25"/>
        <v>1</v>
      </c>
    </row>
    <row r="186" spans="1:8" hidden="1" x14ac:dyDescent="0.2">
      <c r="A186" s="16">
        <f t="shared" ref="A186:A195" si="26">A185</f>
        <v>2020</v>
      </c>
      <c r="B186" s="17" t="s">
        <v>9</v>
      </c>
      <c r="C186" s="117">
        <f>(Indeks!C186/Indeks!$C$40*Indeks!$C$2)/Indeks!H186*100</f>
        <v>0.68597879484993951</v>
      </c>
      <c r="D186" s="117">
        <f>(Indeks!D186/Indeks!$D$40*Indeks!$D$2)/Indeks!H186*100</f>
        <v>0.14031605283506488</v>
      </c>
      <c r="E186" s="117">
        <f>(Indeks!E186/Indeks!$E$40*Indeks!$E$2)/Indeks!H186*100</f>
        <v>8.3051531654749364E-2</v>
      </c>
      <c r="F186" s="117">
        <f>(Indeks!F186/Indeks!$F$40*Indeks!$F$2)/Indeks!H186*100</f>
        <v>8.7418484725948264E-2</v>
      </c>
      <c r="G186" s="117">
        <f>(Indeks!G186/Indeks!$G$40*Indeks!$G$2)/Indeks!H186*100</f>
        <v>3.2351359342979581E-3</v>
      </c>
      <c r="H186" s="117">
        <f t="shared" si="25"/>
        <v>0.99999999999999989</v>
      </c>
    </row>
    <row r="187" spans="1:8" hidden="1" x14ac:dyDescent="0.2">
      <c r="A187" s="32">
        <f t="shared" si="26"/>
        <v>2020</v>
      </c>
      <c r="B187" s="33" t="s">
        <v>10</v>
      </c>
      <c r="C187" s="116">
        <f>(Indeks!C187/Indeks!$C$40*Indeks!$C$2)/Indeks!H187*100</f>
        <v>0.69059458591467882</v>
      </c>
      <c r="D187" s="116">
        <f>(Indeks!D187/Indeks!$D$40*Indeks!$D$2)/Indeks!H187*100</f>
        <v>0.13684135836068334</v>
      </c>
      <c r="E187" s="116">
        <f>(Indeks!E187/Indeks!$E$40*Indeks!$E$2)/Indeks!H187*100</f>
        <v>8.3734927821037849E-2</v>
      </c>
      <c r="F187" s="116">
        <f>(Indeks!F187/Indeks!$F$40*Indeks!$F$2)/Indeks!H187*100</f>
        <v>8.7710898239049664E-2</v>
      </c>
      <c r="G187" s="116">
        <f>(Indeks!G187/Indeks!$G$40*Indeks!$G$2)/Indeks!H187*100</f>
        <v>1.1182296645505215E-3</v>
      </c>
      <c r="H187" s="116">
        <f t="shared" si="25"/>
        <v>1.0000000000000002</v>
      </c>
    </row>
    <row r="188" spans="1:8" hidden="1" x14ac:dyDescent="0.2">
      <c r="A188" s="32">
        <f t="shared" si="26"/>
        <v>2020</v>
      </c>
      <c r="B188" s="67" t="s">
        <v>11</v>
      </c>
      <c r="C188" s="116">
        <f>(Indeks!C188/Indeks!$C$40*Indeks!$C$2)/Indeks!H188*100</f>
        <v>0.68955330344515486</v>
      </c>
      <c r="D188" s="116">
        <f>(Indeks!D188/Indeks!$D$40*Indeks!$D$2)/Indeks!H188*100</f>
        <v>0.1343102249136327</v>
      </c>
      <c r="E188" s="116">
        <f>(Indeks!E188/Indeks!$E$40*Indeks!$E$2)/Indeks!H188*100</f>
        <v>8.3366561764054659E-2</v>
      </c>
      <c r="F188" s="116">
        <f>(Indeks!F188/Indeks!$F$40*Indeks!$F$2)/Indeks!H188*100</f>
        <v>8.7745463715580188E-2</v>
      </c>
      <c r="G188" s="116">
        <f>(Indeks!G188/Indeks!$G$40*Indeks!$G$2)/Indeks!H188*100</f>
        <v>5.0244461615776394E-3</v>
      </c>
      <c r="H188" s="116">
        <f t="shared" si="25"/>
        <v>1.0000000000000002</v>
      </c>
    </row>
    <row r="189" spans="1:8" hidden="1" x14ac:dyDescent="0.2">
      <c r="A189" s="16">
        <f t="shared" si="26"/>
        <v>2020</v>
      </c>
      <c r="B189" s="17" t="s">
        <v>12</v>
      </c>
      <c r="C189" s="117">
        <f>(Indeks!C189/Indeks!$C$40*Indeks!$C$2)/Indeks!H189*100</f>
        <v>0.69360873206702023</v>
      </c>
      <c r="D189" s="117">
        <f>(Indeks!D189/Indeks!$D$40*Indeks!$D$2)/Indeks!H189*100</f>
        <v>0.13042318363009955</v>
      </c>
      <c r="E189" s="117">
        <f>(Indeks!E189/Indeks!$E$40*Indeks!$E$2)/Indeks!H189*100</f>
        <v>8.3775682553111491E-2</v>
      </c>
      <c r="F189" s="117">
        <f>(Indeks!F189/Indeks!$F$40*Indeks!$F$2)/Indeks!H189*100</f>
        <v>8.8261515865882614E-2</v>
      </c>
      <c r="G189" s="117">
        <f>(Indeks!G189/Indeks!$G$40*Indeks!$G$2)/Indeks!H189*100</f>
        <v>3.9308858838860714E-3</v>
      </c>
      <c r="H189" s="117">
        <f t="shared" si="25"/>
        <v>1</v>
      </c>
    </row>
    <row r="190" spans="1:8" hidden="1" x14ac:dyDescent="0.2">
      <c r="A190" s="12">
        <f t="shared" si="26"/>
        <v>2020</v>
      </c>
      <c r="B190" s="13" t="s">
        <v>30</v>
      </c>
      <c r="C190" s="116">
        <f>(Indeks!C190/Indeks!$C$40*Indeks!$C$2)/Indeks!H190*100</f>
        <v>0.69834484487261839</v>
      </c>
      <c r="D190" s="116">
        <f>(Indeks!D190/Indeks!$D$40*Indeks!$D$2)/Indeks!H190*100</f>
        <v>0.12659429032328812</v>
      </c>
      <c r="E190" s="116">
        <f>(Indeks!E190/Indeks!$E$40*Indeks!$E$2)/Indeks!H190*100</f>
        <v>8.3904332425382699E-2</v>
      </c>
      <c r="F190" s="116">
        <f>(Indeks!F190/Indeks!$F$40*Indeks!$F$2)/Indeks!H190*100</f>
        <v>8.8566902654798677E-2</v>
      </c>
      <c r="G190" s="116">
        <f>(Indeks!G190/Indeks!$G$40*Indeks!$G$2)/Indeks!H190*100</f>
        <v>2.5896297239119989E-3</v>
      </c>
      <c r="H190" s="116">
        <f t="shared" si="25"/>
        <v>1</v>
      </c>
    </row>
    <row r="191" spans="1:8" hidden="1" x14ac:dyDescent="0.2">
      <c r="A191" s="32">
        <f t="shared" si="26"/>
        <v>2020</v>
      </c>
      <c r="B191" s="33" t="s">
        <v>13</v>
      </c>
      <c r="C191" s="116">
        <f>(Indeks!C191/Indeks!$C$40*Indeks!$C$2)/Indeks!H191*100</f>
        <v>0.69802606355973107</v>
      </c>
      <c r="D191" s="116">
        <f>(Indeks!D191/Indeks!$D$40*Indeks!$D$2)/Indeks!H191*100</f>
        <v>0.12685603902832462</v>
      </c>
      <c r="E191" s="116">
        <f>(Indeks!E191/Indeks!$E$40*Indeks!$E$2)/Indeks!H191*100</f>
        <v>8.3947376029236173E-2</v>
      </c>
      <c r="F191" s="116">
        <f>(Indeks!F191/Indeks!$F$40*Indeks!$F$2)/Indeks!H191*100</f>
        <v>8.869461497643942E-2</v>
      </c>
      <c r="G191" s="116">
        <f>(Indeks!G191/Indeks!$G$40*Indeks!$G$2)/Indeks!H191*100</f>
        <v>2.4759064062686489E-3</v>
      </c>
      <c r="H191" s="116">
        <f t="shared" si="25"/>
        <v>0.99999999999999989</v>
      </c>
    </row>
    <row r="192" spans="1:8" hidden="1" x14ac:dyDescent="0.2">
      <c r="A192" s="16">
        <f t="shared" si="26"/>
        <v>2020</v>
      </c>
      <c r="B192" s="17" t="s">
        <v>14</v>
      </c>
      <c r="C192" s="117">
        <f>(Indeks!C192/Indeks!$C$40*Indeks!$C$2)/Indeks!H192*100</f>
        <v>0.69732749778013992</v>
      </c>
      <c r="D192" s="117">
        <f>(Indeks!D192/Indeks!$D$40*Indeks!$D$2)/Indeks!H192*100</f>
        <v>0.12747392419373943</v>
      </c>
      <c r="E192" s="117">
        <f>(Indeks!E192/Indeks!$E$40*Indeks!$E$2)/Indeks!H192*100</f>
        <v>8.451346733974277E-2</v>
      </c>
      <c r="F192" s="117">
        <f>(Indeks!F192/Indeks!$F$40*Indeks!$F$2)/Indeks!H192*100</f>
        <v>8.8773824961231665E-2</v>
      </c>
      <c r="G192" s="117">
        <f>(Indeks!G192/Indeks!$G$40*Indeks!$G$2)/Indeks!H192*100</f>
        <v>1.9112857251463123E-3</v>
      </c>
      <c r="H192" s="117">
        <f t="shared" si="25"/>
        <v>1</v>
      </c>
    </row>
    <row r="193" spans="1:8" hidden="1" x14ac:dyDescent="0.2">
      <c r="A193" s="32">
        <f t="shared" si="26"/>
        <v>2020</v>
      </c>
      <c r="B193" s="67" t="s">
        <v>15</v>
      </c>
      <c r="C193" s="116">
        <f>(Indeks!C193/Indeks!$C$40*Indeks!$C$2)/Indeks!H193*100</f>
        <v>0.69522834230774211</v>
      </c>
      <c r="D193" s="116">
        <f>(Indeks!D193/Indeks!$D$40*Indeks!$D$2)/Indeks!H193*100</f>
        <v>0.13011263859498773</v>
      </c>
      <c r="E193" s="116">
        <f>(Indeks!E193/Indeks!$E$40*Indeks!$E$2)/Indeks!H193*100</f>
        <v>8.3695512163400751E-2</v>
      </c>
      <c r="F193" s="116">
        <f>(Indeks!F193/Indeks!$F$40*Indeks!$F$2)/Indeks!H193*100</f>
        <v>8.8504559691209128E-2</v>
      </c>
      <c r="G193" s="116">
        <f>(Indeks!G193/Indeks!$G$40*Indeks!$G$2)/Indeks!H193*100</f>
        <v>2.4589472426602985E-3</v>
      </c>
      <c r="H193" s="116">
        <f t="shared" si="25"/>
        <v>1.0000000000000002</v>
      </c>
    </row>
    <row r="194" spans="1:8" hidden="1" x14ac:dyDescent="0.2">
      <c r="A194" s="32">
        <f t="shared" si="26"/>
        <v>2020</v>
      </c>
      <c r="B194" s="67" t="s">
        <v>16</v>
      </c>
      <c r="C194" s="116">
        <f>(Indeks!C194/Indeks!$C$40*Indeks!$C$2)/Indeks!H194*100</f>
        <v>0.68989716092027475</v>
      </c>
      <c r="D194" s="116">
        <f>(Indeks!D194/Indeks!$D$40*Indeks!$D$2)/Indeks!H194*100</f>
        <v>0.13772256317946055</v>
      </c>
      <c r="E194" s="116">
        <f>(Indeks!E194/Indeks!$E$40*Indeks!$E$2)/Indeks!H194*100</f>
        <v>8.2973546777311433E-2</v>
      </c>
      <c r="F194" s="116">
        <f>(Indeks!F194/Indeks!$F$40*Indeks!$F$2)/Indeks!H194*100</f>
        <v>8.7743030419105597E-2</v>
      </c>
      <c r="G194" s="116">
        <f>(Indeks!G194/Indeks!$G$40*Indeks!$G$2)/Indeks!H194*100</f>
        <v>1.6636987038476023E-3</v>
      </c>
      <c r="H194" s="116">
        <f t="shared" si="25"/>
        <v>0.99999999999999989</v>
      </c>
    </row>
    <row r="195" spans="1:8" hidden="1" x14ac:dyDescent="0.2">
      <c r="A195" s="16">
        <f t="shared" si="26"/>
        <v>2020</v>
      </c>
      <c r="B195" s="17" t="s">
        <v>17</v>
      </c>
      <c r="C195" s="117">
        <f>(Indeks!C195/Indeks!$C$40*Indeks!$C$2)/Indeks!H195*100</f>
        <v>0.68582581957041489</v>
      </c>
      <c r="D195" s="117">
        <f>(Indeks!D195/Indeks!$D$40*Indeks!$D$2)/Indeks!H195*100</f>
        <v>0.14358833814521263</v>
      </c>
      <c r="E195" s="117">
        <f>(Indeks!E195/Indeks!$E$40*Indeks!$E$2)/Indeks!H195*100</f>
        <v>8.2643277980962784E-2</v>
      </c>
      <c r="F195" s="117">
        <f>(Indeks!F195/Indeks!$F$40*Indeks!$F$2)/Indeks!H195*100</f>
        <v>8.7060494652671377E-2</v>
      </c>
      <c r="G195" s="117">
        <f>(Indeks!G195/Indeks!$G$40*Indeks!$G$2)/Indeks!H195*100</f>
        <v>8.8206965073847155E-4</v>
      </c>
      <c r="H195" s="117">
        <f t="shared" si="25"/>
        <v>1.0000000000000002</v>
      </c>
    </row>
    <row r="196" spans="1:8" hidden="1" x14ac:dyDescent="0.2">
      <c r="A196" s="8">
        <v>2021</v>
      </c>
      <c r="B196" s="67" t="s">
        <v>7</v>
      </c>
      <c r="C196" s="116">
        <f>(Indeks!C196/Indeks!$C$40*Indeks!$C$2)/Indeks!H196*100</f>
        <v>0.68599592333777293</v>
      </c>
      <c r="D196" s="116">
        <f>(Indeks!D196/Indeks!$D$40*Indeks!$D$2)/Indeks!H196*100</f>
        <v>0.14332799263861293</v>
      </c>
      <c r="E196" s="116">
        <f>(Indeks!E196/Indeks!$E$40*Indeks!$E$2)/Indeks!H196*100</f>
        <v>8.2115499403275505E-2</v>
      </c>
      <c r="F196" s="116">
        <f>(Indeks!F196/Indeks!$F$40*Indeks!$F$2)/Indeks!H196*100</f>
        <v>8.6915679864194711E-2</v>
      </c>
      <c r="G196" s="116">
        <f>(Indeks!G196/Indeks!$G$40*Indeks!$G$2)/Indeks!H196*100</f>
        <v>1.6449047561438235E-3</v>
      </c>
      <c r="H196" s="116">
        <f t="shared" ref="H196:H207" si="27">SUM(C196:G196)</f>
        <v>1</v>
      </c>
    </row>
    <row r="197" spans="1:8" hidden="1" x14ac:dyDescent="0.2">
      <c r="A197" s="12">
        <f>A196</f>
        <v>2021</v>
      </c>
      <c r="B197" s="33" t="s">
        <v>8</v>
      </c>
      <c r="C197" s="116">
        <f>(Indeks!C197/Indeks!$C$40*Indeks!$C$2)/Indeks!H197*100</f>
        <v>0.68371110120206702</v>
      </c>
      <c r="D197" s="116">
        <f>(Indeks!D197/Indeks!$D$40*Indeks!$D$2)/Indeks!H197*100</f>
        <v>0.14833293425811769</v>
      </c>
      <c r="E197" s="116">
        <f>(Indeks!E197/Indeks!$E$40*Indeks!$E$2)/Indeks!H197*100</f>
        <v>8.1684004101009206E-2</v>
      </c>
      <c r="F197" s="116">
        <f>(Indeks!F197/Indeks!$F$40*Indeks!$F$2)/Indeks!H197*100</f>
        <v>8.6381255514178565E-2</v>
      </c>
      <c r="G197" s="116">
        <f>(Indeks!G197/Indeks!$G$40*Indeks!$G$2)/Indeks!H197*100</f>
        <v>-1.09295075372419E-4</v>
      </c>
      <c r="H197" s="116">
        <f t="shared" si="27"/>
        <v>1</v>
      </c>
    </row>
    <row r="198" spans="1:8" hidden="1" x14ac:dyDescent="0.2">
      <c r="A198" s="16">
        <f t="shared" ref="A198:A207" si="28">A197</f>
        <v>2021</v>
      </c>
      <c r="B198" s="17" t="s">
        <v>9</v>
      </c>
      <c r="C198" s="117">
        <f>(Indeks!C198/Indeks!$C$40*Indeks!$C$2)/Indeks!H198*100</f>
        <v>0.67691503348555593</v>
      </c>
      <c r="D198" s="117">
        <f>(Indeks!D198/Indeks!$D$40*Indeks!$D$2)/Indeks!H198*100</f>
        <v>0.15412974658133932</v>
      </c>
      <c r="E198" s="117">
        <f>(Indeks!E198/Indeks!$E$40*Indeks!$E$2)/Indeks!H198*100</f>
        <v>8.1028493227476725E-2</v>
      </c>
      <c r="F198" s="117">
        <f>(Indeks!F198/Indeks!$F$40*Indeks!$F$2)/Indeks!H198*100</f>
        <v>8.6411805106934747E-2</v>
      </c>
      <c r="G198" s="117">
        <f>(Indeks!G198/Indeks!$G$40*Indeks!$G$2)/Indeks!H198*100</f>
        <v>1.5149215986932872E-3</v>
      </c>
      <c r="H198" s="117">
        <f t="shared" si="27"/>
        <v>0.99999999999999989</v>
      </c>
    </row>
    <row r="199" spans="1:8" hidden="1" x14ac:dyDescent="0.2">
      <c r="A199" s="32">
        <f t="shared" si="28"/>
        <v>2021</v>
      </c>
      <c r="B199" s="33" t="s">
        <v>10</v>
      </c>
      <c r="C199" s="116">
        <f>(Indeks!C199/Indeks!$C$40*Indeks!$C$2)/Indeks!H199*100</f>
        <v>0.67789586785467915</v>
      </c>
      <c r="D199" s="116">
        <f>(Indeks!D199/Indeks!$D$40*Indeks!$D$2)/Indeks!H199*100</f>
        <v>0.15094164719953376</v>
      </c>
      <c r="E199" s="116">
        <f>(Indeks!E199/Indeks!$E$40*Indeks!$E$2)/Indeks!H199*100</f>
        <v>8.127002870706157E-2</v>
      </c>
      <c r="F199" s="116">
        <f>(Indeks!F199/Indeks!$F$40*Indeks!$F$2)/Indeks!H199*100</f>
        <v>8.6331548280179568E-2</v>
      </c>
      <c r="G199" s="116">
        <f>(Indeks!G199/Indeks!$G$40*Indeks!$G$2)/Indeks!H199*100</f>
        <v>3.5609079585459495E-3</v>
      </c>
      <c r="H199" s="116">
        <f t="shared" si="27"/>
        <v>0.99999999999999989</v>
      </c>
    </row>
    <row r="200" spans="1:8" hidden="1" x14ac:dyDescent="0.2">
      <c r="A200" s="32">
        <f t="shared" si="28"/>
        <v>2021</v>
      </c>
      <c r="B200" s="67" t="s">
        <v>11</v>
      </c>
      <c r="C200" s="116">
        <f>(Indeks!C200/Indeks!$C$40*Indeks!$C$2)/Indeks!H200*100</f>
        <v>0.67719582718512661</v>
      </c>
      <c r="D200" s="116">
        <f>(Indeks!D200/Indeks!$D$40*Indeks!$D$2)/Indeks!H200*100</f>
        <v>0.15007163372951346</v>
      </c>
      <c r="E200" s="116">
        <f>(Indeks!E200/Indeks!$E$40*Indeks!$E$2)/Indeks!H200*100</f>
        <v>8.1264017560325211E-2</v>
      </c>
      <c r="F200" s="116">
        <f>(Indeks!F200/Indeks!$F$40*Indeks!$F$2)/Indeks!H200*100</f>
        <v>8.6725547223000174E-2</v>
      </c>
      <c r="G200" s="116">
        <f>(Indeks!G200/Indeks!$G$40*Indeks!$G$2)/Indeks!H200*100</f>
        <v>4.7429743020345697E-3</v>
      </c>
      <c r="H200" s="116">
        <f t="shared" si="27"/>
        <v>1</v>
      </c>
    </row>
    <row r="201" spans="1:8" hidden="1" x14ac:dyDescent="0.2">
      <c r="A201" s="16">
        <f t="shared" si="28"/>
        <v>2021</v>
      </c>
      <c r="B201" s="17" t="s">
        <v>12</v>
      </c>
      <c r="C201" s="117">
        <f>(Indeks!C201/Indeks!$C$40*Indeks!$C$2)/Indeks!H201*100</f>
        <v>0.67306625300637568</v>
      </c>
      <c r="D201" s="117">
        <f>(Indeks!D201/Indeks!$D$40*Indeks!$D$2)/Indeks!H201*100</f>
        <v>0.15524037064634427</v>
      </c>
      <c r="E201" s="117">
        <f>(Indeks!E201/Indeks!$E$40*Indeks!$E$2)/Indeks!H201*100</f>
        <v>8.1078219920120584E-2</v>
      </c>
      <c r="F201" s="117">
        <f>(Indeks!F201/Indeks!$F$40*Indeks!$F$2)/Indeks!H201*100</f>
        <v>8.6436792680544106E-2</v>
      </c>
      <c r="G201" s="117">
        <f>(Indeks!G201/Indeks!$G$40*Indeks!$G$2)/Indeks!H201*100</f>
        <v>4.178363746615431E-3</v>
      </c>
      <c r="H201" s="117">
        <f t="shared" si="27"/>
        <v>0.99999999999999989</v>
      </c>
    </row>
    <row r="202" spans="1:8" hidden="1" x14ac:dyDescent="0.2">
      <c r="A202" s="12">
        <f t="shared" si="28"/>
        <v>2021</v>
      </c>
      <c r="B202" s="13" t="s">
        <v>30</v>
      </c>
      <c r="C202" s="116">
        <f>(Indeks!C202/Indeks!$C$40*Indeks!$C$2)/Indeks!H202*100</f>
        <v>0.66716526212893201</v>
      </c>
      <c r="D202" s="116">
        <f>(Indeks!D202/Indeks!$D$40*Indeks!$D$2)/Indeks!H202*100</f>
        <v>0.16258104172159382</v>
      </c>
      <c r="E202" s="116">
        <f>(Indeks!E202/Indeks!$E$40*Indeks!$E$2)/Indeks!H202*100</f>
        <v>7.9956237438867969E-2</v>
      </c>
      <c r="F202" s="116">
        <f>(Indeks!F202/Indeks!$F$40*Indeks!$F$2)/Indeks!H202*100</f>
        <v>8.5235690984745385E-2</v>
      </c>
      <c r="G202" s="116">
        <f>(Indeks!G202/Indeks!$G$40*Indeks!$G$2)/Indeks!H202*100</f>
        <v>5.0617677258608038E-3</v>
      </c>
      <c r="H202" s="116">
        <f t="shared" si="27"/>
        <v>0.99999999999999989</v>
      </c>
    </row>
    <row r="203" spans="1:8" hidden="1" x14ac:dyDescent="0.2">
      <c r="A203" s="32">
        <f t="shared" si="28"/>
        <v>2021</v>
      </c>
      <c r="B203" s="33" t="s">
        <v>13</v>
      </c>
      <c r="C203" s="116">
        <f>(Indeks!C203/Indeks!$C$40*Indeks!$C$2)/Indeks!H203*100</f>
        <v>0.66181487961006602</v>
      </c>
      <c r="D203" s="116">
        <f>(Indeks!D203/Indeks!$D$40*Indeks!$D$2)/Indeks!H203*100</f>
        <v>0.16969253477246174</v>
      </c>
      <c r="E203" s="116">
        <f>(Indeks!E203/Indeks!$E$40*Indeks!$E$2)/Indeks!H203*100</f>
        <v>7.9390632442828554E-2</v>
      </c>
      <c r="F203" s="116">
        <f>(Indeks!F203/Indeks!$F$40*Indeks!$F$2)/Indeks!H203*100</f>
        <v>8.4708425491580586E-2</v>
      </c>
      <c r="G203" s="116">
        <f>(Indeks!G203/Indeks!$G$40*Indeks!$G$2)/Indeks!H203*100</f>
        <v>4.3935276830632313E-3</v>
      </c>
      <c r="H203" s="116">
        <f t="shared" si="27"/>
        <v>1.0000000000000002</v>
      </c>
    </row>
    <row r="204" spans="1:8" hidden="1" x14ac:dyDescent="0.2">
      <c r="A204" s="63">
        <f t="shared" si="28"/>
        <v>2021</v>
      </c>
      <c r="B204" s="64" t="s">
        <v>14</v>
      </c>
      <c r="C204" s="117">
        <f>(Indeks!C204/Indeks!$C$40*Indeks!$C$2)/Indeks!H204*100</f>
        <v>0.65201255424599669</v>
      </c>
      <c r="D204" s="117">
        <f>(Indeks!D204/Indeks!$D$40*Indeks!$D$2)/Indeks!H204*100</f>
        <v>0.18190732451010064</v>
      </c>
      <c r="E204" s="117">
        <f>(Indeks!E204/Indeks!$E$40*Indeks!$E$2)/Indeks!H204*100</f>
        <v>7.8736187275265476E-2</v>
      </c>
      <c r="F204" s="117">
        <f>(Indeks!F204/Indeks!$F$40*Indeks!$F$2)/Indeks!H204*100</f>
        <v>8.3530772186200683E-2</v>
      </c>
      <c r="G204" s="117">
        <f>(Indeks!G204/Indeks!$G$40*Indeks!$G$2)/Indeks!H204*100</f>
        <v>3.8131617824364262E-3</v>
      </c>
      <c r="H204" s="117">
        <f t="shared" si="27"/>
        <v>0.99999999999999978</v>
      </c>
    </row>
    <row r="205" spans="1:8" hidden="1" x14ac:dyDescent="0.2">
      <c r="A205" s="32">
        <f t="shared" si="28"/>
        <v>2021</v>
      </c>
      <c r="B205" s="67" t="s">
        <v>15</v>
      </c>
      <c r="C205" s="116">
        <f>(Indeks!C205/Indeks!$C$40*Indeks!$C$2)/Indeks!H205*100</f>
        <v>0.64419710010026021</v>
      </c>
      <c r="D205" s="116">
        <f>(Indeks!D205/Indeks!$D$40*Indeks!$D$2)/Indeks!H205*100</f>
        <v>0.19311443148486324</v>
      </c>
      <c r="E205" s="116">
        <f>(Indeks!E205/Indeks!$E$40*Indeks!$E$2)/Indeks!H205*100</f>
        <v>7.6836965523207748E-2</v>
      </c>
      <c r="F205" s="116">
        <f>(Indeks!F205/Indeks!$F$40*Indeks!$F$2)/Indeks!H205*100</f>
        <v>8.1820975740249352E-2</v>
      </c>
      <c r="G205" s="116">
        <f>(Indeks!G205/Indeks!$G$40*Indeks!$G$2)/Indeks!H205*100</f>
        <v>4.0305271514194611E-3</v>
      </c>
      <c r="H205" s="116">
        <f t="shared" si="27"/>
        <v>1</v>
      </c>
    </row>
    <row r="206" spans="1:8" hidden="1" x14ac:dyDescent="0.2">
      <c r="A206" s="32">
        <f t="shared" si="28"/>
        <v>2021</v>
      </c>
      <c r="B206" s="67" t="s">
        <v>16</v>
      </c>
      <c r="C206" s="116">
        <f>(Indeks!C206/Indeks!$C$40*Indeks!$C$2)/Indeks!H206*100</f>
        <v>0.61818060267930031</v>
      </c>
      <c r="D206" s="116">
        <f>(Indeks!D206/Indeks!$D$40*Indeks!$D$2)/Indeks!H206*100</f>
        <v>0.22457472104239462</v>
      </c>
      <c r="E206" s="116">
        <f>(Indeks!E206/Indeks!$E$40*Indeks!$E$2)/Indeks!H206*100</f>
        <v>7.3943503067859212E-2</v>
      </c>
      <c r="F206" s="116">
        <f>(Indeks!F206/Indeks!$F$40*Indeks!$F$2)/Indeks!H206*100</f>
        <v>7.8949953814874241E-2</v>
      </c>
      <c r="G206" s="116">
        <f>(Indeks!G206/Indeks!$G$40*Indeks!$G$2)/Indeks!H206*100</f>
        <v>4.3512193955716075E-3</v>
      </c>
      <c r="H206" s="116">
        <f t="shared" si="27"/>
        <v>1</v>
      </c>
    </row>
    <row r="207" spans="1:8" hidden="1" x14ac:dyDescent="0.2">
      <c r="A207" s="16">
        <f t="shared" si="28"/>
        <v>2021</v>
      </c>
      <c r="B207" s="17" t="s">
        <v>17</v>
      </c>
      <c r="C207" s="117">
        <f>(Indeks!C207/Indeks!$C$40*Indeks!$C$2)/Indeks!H207*100</f>
        <v>0.5839368390275268</v>
      </c>
      <c r="D207" s="117">
        <f>(Indeks!D207/Indeks!$D$40*Indeks!$D$2)/Indeks!H207*100</f>
        <v>0.26616227525704217</v>
      </c>
      <c r="E207" s="117">
        <f>(Indeks!E207/Indeks!$E$40*Indeks!$E$2)/Indeks!H207*100</f>
        <v>7.0507628467433678E-2</v>
      </c>
      <c r="F207" s="117">
        <f>(Indeks!F207/Indeks!$F$40*Indeks!$F$2)/Indeks!H207*100</f>
        <v>7.4917721308827429E-2</v>
      </c>
      <c r="G207" s="117">
        <f>(Indeks!G207/Indeks!$G$40*Indeks!$G$2)/Indeks!H207*100</f>
        <v>4.475535939169932E-3</v>
      </c>
      <c r="H207" s="117">
        <f t="shared" si="27"/>
        <v>1</v>
      </c>
    </row>
    <row r="208" spans="1:8" hidden="1" x14ac:dyDescent="0.2">
      <c r="A208" s="8">
        <v>2022</v>
      </c>
      <c r="B208" s="67" t="s">
        <v>7</v>
      </c>
      <c r="C208" s="116">
        <f>(Indeks!C208/Indeks!$C$40*Indeks!$C$2)/Indeks!H208*100</f>
        <v>0.59588047512015052</v>
      </c>
      <c r="D208" s="116">
        <f>(Indeks!D208/Indeks!$D$40*Indeks!$D$2)/Indeks!H208*100</f>
        <v>0.25251424702895925</v>
      </c>
      <c r="E208" s="116">
        <f>(Indeks!E208/Indeks!$E$40*Indeks!$E$2)/Indeks!H208*100</f>
        <v>7.1753518445587625E-2</v>
      </c>
      <c r="F208" s="116">
        <f>(Indeks!F208/Indeks!$F$40*Indeks!$F$2)/Indeks!H208*100</f>
        <v>7.5958734918465845E-2</v>
      </c>
      <c r="G208" s="116">
        <f>(Indeks!G208/Indeks!$G$40*Indeks!$G$2)/Indeks!H208*100</f>
        <v>3.8930244868365291E-3</v>
      </c>
      <c r="H208" s="116">
        <f t="shared" ref="H208:H219" si="29">SUM(C208:G208)</f>
        <v>0.99999999999999967</v>
      </c>
    </row>
    <row r="209" spans="1:8" hidden="1" x14ac:dyDescent="0.2">
      <c r="A209" s="12">
        <f>A208</f>
        <v>2022</v>
      </c>
      <c r="B209" s="13" t="s">
        <v>8</v>
      </c>
      <c r="C209" s="116">
        <f>(Indeks!C209/Indeks!$C$40*Indeks!$C$2)/Indeks!H209*100</f>
        <v>0.55872111731026153</v>
      </c>
      <c r="D209" s="116">
        <f>(Indeks!D209/Indeks!$D$40*Indeks!$D$2)/Indeks!H209*100</f>
        <v>0.29800939269720844</v>
      </c>
      <c r="E209" s="116">
        <f>(Indeks!E209/Indeks!$E$40*Indeks!$E$2)/Indeks!H209*100</f>
        <v>6.6964844746478361E-2</v>
      </c>
      <c r="F209" s="116">
        <f>(Indeks!F209/Indeks!$F$40*Indeks!$F$2)/Indeks!H209*100</f>
        <v>7.161146174068822E-2</v>
      </c>
      <c r="G209" s="116">
        <f>(Indeks!G209/Indeks!$G$40*Indeks!$G$2)/Indeks!H209*100</f>
        <v>4.6931835053633146E-3</v>
      </c>
      <c r="H209" s="116">
        <f t="shared" si="29"/>
        <v>0.99999999999999989</v>
      </c>
    </row>
    <row r="210" spans="1:8" hidden="1" x14ac:dyDescent="0.2">
      <c r="A210" s="16">
        <f t="shared" ref="A210:A219" si="30">A209</f>
        <v>2022</v>
      </c>
      <c r="B210" s="17" t="s">
        <v>9</v>
      </c>
      <c r="C210" s="117">
        <f>(Indeks!C210/Indeks!$C$40*Indeks!$C$2)/Indeks!H210*100</f>
        <v>0.58817241304546619</v>
      </c>
      <c r="D210" s="117">
        <f>(Indeks!D210/Indeks!$D$40*Indeks!$D$2)/Indeks!H210*100</f>
        <v>0.25656820436240352</v>
      </c>
      <c r="E210" s="117">
        <f>(Indeks!E210/Indeks!$E$40*Indeks!$E$2)/Indeks!H210*100</f>
        <v>7.1486645835767401E-2</v>
      </c>
      <c r="F210" s="117">
        <f>(Indeks!F210/Indeks!$F$40*Indeks!$F$2)/Indeks!H210*100</f>
        <v>7.73682935218757E-2</v>
      </c>
      <c r="G210" s="117">
        <f>(Indeks!G210/Indeks!$G$40*Indeks!$G$2)/Indeks!H210*100</f>
        <v>6.4044432344871121E-3</v>
      </c>
      <c r="H210" s="117">
        <f t="shared" si="29"/>
        <v>0.99999999999999989</v>
      </c>
    </row>
    <row r="211" spans="1:8" hidden="1" x14ac:dyDescent="0.2">
      <c r="A211" s="21">
        <f t="shared" si="30"/>
        <v>2022</v>
      </c>
      <c r="B211" s="22" t="s">
        <v>10</v>
      </c>
      <c r="C211" s="116">
        <f>(Indeks!C211/Indeks!$C$40*Indeks!$C$2)/Indeks!H211*100</f>
        <v>0.59058959749062045</v>
      </c>
      <c r="D211" s="116">
        <f>(Indeks!D211/Indeks!$D$40*Indeks!$D$2)/Indeks!H211*100</f>
        <v>0.24971514577490153</v>
      </c>
      <c r="E211" s="116">
        <f>(Indeks!E211/Indeks!$E$40*Indeks!$E$2)/Indeks!H211*100</f>
        <v>7.2361035993809497E-2</v>
      </c>
      <c r="F211" s="116">
        <f>(Indeks!F211/Indeks!$F$40*Indeks!$F$2)/Indeks!H211*100</f>
        <v>7.7799684119370521E-2</v>
      </c>
      <c r="G211" s="116">
        <f>(Indeks!G211/Indeks!$G$40*Indeks!$G$2)/Indeks!H211*100</f>
        <v>9.5345366212977196E-3</v>
      </c>
      <c r="H211" s="116">
        <f t="shared" si="29"/>
        <v>0.99999999999999978</v>
      </c>
    </row>
    <row r="212" spans="1:8" hidden="1" x14ac:dyDescent="0.2">
      <c r="A212" s="12">
        <f t="shared" si="30"/>
        <v>2022</v>
      </c>
      <c r="B212" s="13" t="s">
        <v>11</v>
      </c>
      <c r="C212" s="116">
        <f>(Indeks!C212/Indeks!$C$40*Indeks!$C$2)/Indeks!H212*100</f>
        <v>0.53730041855910227</v>
      </c>
      <c r="D212" s="116">
        <f>(Indeks!D212/Indeks!$D$40*Indeks!$D$2)/Indeks!H212*100</f>
        <v>0.31519897056136964</v>
      </c>
      <c r="E212" s="116">
        <f>(Indeks!E212/Indeks!$E$40*Indeks!$E$2)/Indeks!H212*100</f>
        <v>6.625386460227764E-2</v>
      </c>
      <c r="F212" s="116">
        <f>(Indeks!F212/Indeks!$F$40*Indeks!$F$2)/Indeks!H212*100</f>
        <v>7.0904394087436623E-2</v>
      </c>
      <c r="G212" s="116">
        <f>(Indeks!G212/Indeks!$G$40*Indeks!$G$2)/Indeks!H212*100</f>
        <v>1.0342352189814018E-2</v>
      </c>
      <c r="H212" s="116">
        <f t="shared" si="29"/>
        <v>1.0000000000000002</v>
      </c>
    </row>
    <row r="213" spans="1:8" hidden="1" x14ac:dyDescent="0.2">
      <c r="A213" s="16">
        <f t="shared" si="30"/>
        <v>2022</v>
      </c>
      <c r="B213" s="17" t="s">
        <v>12</v>
      </c>
      <c r="C213" s="117">
        <f>(Indeks!C213/Indeks!$C$40*Indeks!$C$2)/Indeks!H213*100</f>
        <v>0.56019581668608964</v>
      </c>
      <c r="D213" s="117">
        <f>(Indeks!D213/Indeks!$D$40*Indeks!$D$2)/Indeks!H213*100</f>
        <v>0.28056607973328845</v>
      </c>
      <c r="E213" s="117">
        <f>(Indeks!E213/Indeks!$E$40*Indeks!$E$2)/Indeks!H213*100</f>
        <v>7.0208449004051099E-2</v>
      </c>
      <c r="F213" s="117">
        <f>(Indeks!F213/Indeks!$F$40*Indeks!$F$2)/Indeks!H213*100</f>
        <v>7.5289949614233756E-2</v>
      </c>
      <c r="G213" s="117">
        <f>(Indeks!G213/Indeks!$G$40*Indeks!$G$2)/Indeks!H213*100</f>
        <v>1.3739704962336861E-2</v>
      </c>
      <c r="H213" s="117">
        <f t="shared" si="29"/>
        <v>0.99999999999999989</v>
      </c>
    </row>
    <row r="214" spans="1:8" hidden="1" x14ac:dyDescent="0.2">
      <c r="A214" s="12">
        <f t="shared" si="30"/>
        <v>2022</v>
      </c>
      <c r="B214" s="13" t="s">
        <v>30</v>
      </c>
      <c r="C214" s="116">
        <f>(Indeks!C214/Indeks!$C$40*Indeks!$C$2)/Indeks!H214*100</f>
        <v>0.57296418032541607</v>
      </c>
      <c r="D214" s="116">
        <f>(Indeks!D214/Indeks!$D$40*Indeks!$D$2)/Indeks!H214*100</f>
        <v>0.26187622494867369</v>
      </c>
      <c r="E214" s="116">
        <f>(Indeks!E214/Indeks!$E$40*Indeks!$E$2)/Indeks!H214*100</f>
        <v>7.2103950070088144E-2</v>
      </c>
      <c r="F214" s="116">
        <f>(Indeks!F214/Indeks!$F$40*Indeks!$F$2)/Indeks!H214*100</f>
        <v>7.6768795334420603E-2</v>
      </c>
      <c r="G214" s="116">
        <f>(Indeks!G214/Indeks!$G$40*Indeks!$G$2)/Indeks!H214*100</f>
        <v>1.6286849321401359E-2</v>
      </c>
      <c r="H214" s="116">
        <f t="shared" si="29"/>
        <v>0.99999999999999989</v>
      </c>
    </row>
    <row r="215" spans="1:8" hidden="1" x14ac:dyDescent="0.2">
      <c r="A215" s="32">
        <f t="shared" si="30"/>
        <v>2022</v>
      </c>
      <c r="B215" s="33" t="s">
        <v>13</v>
      </c>
      <c r="C215" s="116">
        <f>(Indeks!C215/Indeks!$C$40*Indeks!$C$2)/Indeks!H215*100</f>
        <v>0.55809094313623597</v>
      </c>
      <c r="D215" s="116">
        <f>(Indeks!D215/Indeks!$D$40*Indeks!$D$2)/Indeks!H215*100</f>
        <v>0.27817083986254354</v>
      </c>
      <c r="E215" s="116">
        <f>(Indeks!E215/Indeks!$E$40*Indeks!$E$2)/Indeks!H215*100</f>
        <v>7.0793107298332075E-2</v>
      </c>
      <c r="F215" s="116">
        <f>(Indeks!F215/Indeks!$F$40*Indeks!$F$2)/Indeks!H215*100</f>
        <v>7.5098032456273583E-2</v>
      </c>
      <c r="G215" s="116">
        <f>(Indeks!G215/Indeks!$G$40*Indeks!$G$2)/Indeks!H215*100</f>
        <v>1.7847077246614704E-2</v>
      </c>
      <c r="H215" s="116">
        <f t="shared" si="29"/>
        <v>0.99999999999999989</v>
      </c>
    </row>
    <row r="216" spans="1:8" hidden="1" x14ac:dyDescent="0.2">
      <c r="A216" s="63">
        <f t="shared" si="30"/>
        <v>2022</v>
      </c>
      <c r="B216" s="64" t="s">
        <v>14</v>
      </c>
      <c r="C216" s="117">
        <f>(Indeks!C216/Indeks!$C$40*Indeks!$C$2)/Indeks!H216*100</f>
        <v>0.49956786476796322</v>
      </c>
      <c r="D216" s="117">
        <f>(Indeks!D216/Indeks!$D$40*Indeks!$D$2)/Indeks!H216*100</f>
        <v>0.35381664040527283</v>
      </c>
      <c r="E216" s="117">
        <f>(Indeks!E216/Indeks!$E$40*Indeks!$E$2)/Indeks!H216*100</f>
        <v>6.4094710730264681E-2</v>
      </c>
      <c r="F216" s="117">
        <f>(Indeks!F216/Indeks!$F$40*Indeks!$F$2)/Indeks!H216*100</f>
        <v>6.7857208640724115E-2</v>
      </c>
      <c r="G216" s="117">
        <f>(Indeks!G216/Indeks!$G$40*Indeks!$G$2)/Indeks!H216*100</f>
        <v>1.4663575455775292E-2</v>
      </c>
      <c r="H216" s="117">
        <f t="shared" si="29"/>
        <v>1.0000000000000002</v>
      </c>
    </row>
    <row r="217" spans="1:8" hidden="1" x14ac:dyDescent="0.2">
      <c r="A217" s="32">
        <f t="shared" si="30"/>
        <v>2022</v>
      </c>
      <c r="B217" s="67" t="s">
        <v>15</v>
      </c>
      <c r="C217" s="116">
        <f>(Indeks!C217/Indeks!$C$40*Indeks!$C$2)/Indeks!H217*100</f>
        <v>0.45195976186819503</v>
      </c>
      <c r="D217" s="116">
        <f>(Indeks!D217/Indeks!$D$40*Indeks!$D$2)/Indeks!H217*100</f>
        <v>0.41191582172972813</v>
      </c>
      <c r="E217" s="116">
        <f>(Indeks!E217/Indeks!$E$40*Indeks!$E$2)/Indeks!H217*100</f>
        <v>5.747446677190466E-2</v>
      </c>
      <c r="F217" s="116">
        <f>(Indeks!F217/Indeks!$F$40*Indeks!$F$2)/Indeks!H217*100</f>
        <v>6.1210226855006697E-2</v>
      </c>
      <c r="G217" s="116">
        <f>(Indeks!G217/Indeks!$G$40*Indeks!$G$2)/Indeks!H217*100</f>
        <v>1.7439722775165756E-2</v>
      </c>
      <c r="H217" s="116">
        <f t="shared" si="29"/>
        <v>1.0000000000000002</v>
      </c>
    </row>
    <row r="218" spans="1:8" hidden="1" x14ac:dyDescent="0.2">
      <c r="A218" s="32">
        <f t="shared" si="30"/>
        <v>2022</v>
      </c>
      <c r="B218" s="67" t="s">
        <v>16</v>
      </c>
      <c r="C218" s="116">
        <f>(Indeks!C218/Indeks!$C$40*Indeks!$C$2)/Indeks!H218*100</f>
        <v>0.48120161911531023</v>
      </c>
      <c r="D218" s="116">
        <f>(Indeks!D218/Indeks!$D$40*Indeks!$D$2)/Indeks!H218*100</f>
        <v>0.36785498995313315</v>
      </c>
      <c r="E218" s="116">
        <f>(Indeks!E218/Indeks!$E$40*Indeks!$E$2)/Indeks!H218*100</f>
        <v>6.1991937661326414E-2</v>
      </c>
      <c r="F218" s="116">
        <f>(Indeks!F218/Indeks!$F$40*Indeks!$F$2)/Indeks!H218*100</f>
        <v>6.5225579430169836E-2</v>
      </c>
      <c r="G218" s="116">
        <f>(Indeks!G218/Indeks!$G$40*Indeks!$G$2)/Indeks!H218*100</f>
        <v>2.3725873840060439E-2</v>
      </c>
      <c r="H218" s="116">
        <f t="shared" si="29"/>
        <v>1</v>
      </c>
    </row>
    <row r="219" spans="1:8" ht="13.5" hidden="1" thickBot="1" x14ac:dyDescent="0.25">
      <c r="A219" s="38">
        <f t="shared" si="30"/>
        <v>2022</v>
      </c>
      <c r="B219" s="39" t="s">
        <v>17</v>
      </c>
      <c r="C219" s="93">
        <f>(Indeks!C219/Indeks!$C$40*Indeks!$C$2)/Indeks!H219*100</f>
        <v>0.57071670401472196</v>
      </c>
      <c r="D219" s="93">
        <f>(Indeks!D219/Indeks!$D$40*Indeks!$D$2)/Indeks!H219*100</f>
        <v>0.2495301351105447</v>
      </c>
      <c r="E219" s="93">
        <f>(Indeks!E219/Indeks!$E$40*Indeks!$E$2)/Indeks!H219*100</f>
        <v>7.428190903317361E-2</v>
      </c>
      <c r="F219" s="93">
        <f>(Indeks!F219/Indeks!$F$40*Indeks!$F$2)/Indeks!H219*100</f>
        <v>7.8730028239116304E-2</v>
      </c>
      <c r="G219" s="93">
        <f>(Indeks!G219/Indeks!$G$40*Indeks!$G$2)/Indeks!H219*100</f>
        <v>2.6741223602443354E-2</v>
      </c>
      <c r="H219" s="93">
        <f t="shared" si="29"/>
        <v>1</v>
      </c>
    </row>
    <row r="220" spans="1:8" x14ac:dyDescent="0.2">
      <c r="A220" s="8">
        <v>2023</v>
      </c>
      <c r="B220" s="67" t="s">
        <v>7</v>
      </c>
      <c r="C220" s="116">
        <f>(Indeks!C220/Indeks!$C$40*Indeks!$C$2)/Indeks!H220*100</f>
        <v>0.56591254125527435</v>
      </c>
      <c r="D220" s="116">
        <f>(Indeks!D220/Indeks!$D$40*Indeks!$D$2)/Indeks!H220*100</f>
        <v>0.25920072256047516</v>
      </c>
      <c r="E220" s="116">
        <f>(Indeks!E220/Indeks!$E$40*Indeks!$E$2)/Indeks!H220*100</f>
        <v>7.2537507114286567E-2</v>
      </c>
      <c r="F220" s="116">
        <f>(Indeks!F220/Indeks!$F$40*Indeks!$F$2)/Indeks!H220*100</f>
        <v>7.7733413856270472E-2</v>
      </c>
      <c r="G220" s="116">
        <f>(Indeks!G220/Indeks!$G$40*Indeks!$G$2)/Indeks!H220*100</f>
        <v>2.4615815213693593E-2</v>
      </c>
      <c r="H220" s="116">
        <f t="shared" ref="H220:H231" si="31">SUM(C220:G220)</f>
        <v>1</v>
      </c>
    </row>
    <row r="221" spans="1:8" x14ac:dyDescent="0.2">
      <c r="A221" s="12">
        <f>A220</f>
        <v>2023</v>
      </c>
      <c r="B221" s="13" t="s">
        <v>8</v>
      </c>
      <c r="C221" s="116">
        <f>(Indeks!C221/Indeks!$C$40*Indeks!$C$2)/Indeks!H221*100</f>
        <v>0.53945424023679034</v>
      </c>
      <c r="D221" s="116">
        <f>(Indeks!D221/Indeks!$D$40*Indeks!$D$2)/Indeks!H221*100</f>
        <v>0.29033325981363217</v>
      </c>
      <c r="E221" s="116">
        <f>(Indeks!E221/Indeks!$E$40*Indeks!$E$2)/Indeks!H221*100</f>
        <v>6.8731022410295411E-2</v>
      </c>
      <c r="F221" s="116">
        <f>(Indeks!F221/Indeks!$F$40*Indeks!$F$2)/Indeks!H221*100</f>
        <v>7.4160406780757027E-2</v>
      </c>
      <c r="G221" s="116">
        <f>(Indeks!G221/Indeks!$G$40*Indeks!$G$2)/Indeks!H221*100</f>
        <v>2.7321070758524947E-2</v>
      </c>
      <c r="H221" s="116">
        <f t="shared" si="31"/>
        <v>0.99999999999999978</v>
      </c>
    </row>
    <row r="222" spans="1:8" x14ac:dyDescent="0.2">
      <c r="A222" s="16">
        <f t="shared" ref="A222:A231" si="32">A221</f>
        <v>2023</v>
      </c>
      <c r="B222" s="17" t="s">
        <v>9</v>
      </c>
      <c r="C222" s="117">
        <f>(Indeks!C222/Indeks!$C$40*Indeks!$C$2)/Indeks!H222*100</f>
        <v>0.59250917406229742</v>
      </c>
      <c r="D222" s="117">
        <f>(Indeks!D222/Indeks!$D$40*Indeks!$D$2)/Indeks!H222*100</f>
        <v>0.219698783324976</v>
      </c>
      <c r="E222" s="117">
        <f>(Indeks!E222/Indeks!$E$40*Indeks!$E$2)/Indeks!H222*100</f>
        <v>7.5816340250293129E-2</v>
      </c>
      <c r="F222" s="117">
        <f>(Indeks!F222/Indeks!$F$40*Indeks!$F$2)/Indeks!H222*100</f>
        <v>8.259842452652616E-2</v>
      </c>
      <c r="G222" s="117">
        <f>(Indeks!G222/Indeks!$G$40*Indeks!$G$2)/Indeks!H222*100</f>
        <v>2.9377277835907375E-2</v>
      </c>
      <c r="H222" s="117">
        <f t="shared" si="31"/>
        <v>1</v>
      </c>
    </row>
    <row r="223" spans="1:8" x14ac:dyDescent="0.2">
      <c r="A223" s="21">
        <f t="shared" si="32"/>
        <v>2023</v>
      </c>
      <c r="B223" s="22" t="s">
        <v>10</v>
      </c>
      <c r="C223" s="116">
        <f>(Indeks!C223/Indeks!$C$40*Indeks!$C$2)/Indeks!H223*100</f>
        <v>0.605187947550897</v>
      </c>
      <c r="D223" s="116">
        <f>(Indeks!D223/Indeks!$D$40*Indeks!$D$2)/Indeks!H223*100</f>
        <v>0.20116738317540739</v>
      </c>
      <c r="E223" s="116">
        <f>(Indeks!E223/Indeks!$E$40*Indeks!$E$2)/Indeks!H223*100</f>
        <v>7.7542625282491479E-2</v>
      </c>
      <c r="F223" s="116">
        <f>(Indeks!F223/Indeks!$F$40*Indeks!$F$2)/Indeks!H223*100</f>
        <v>8.3415442017686137E-2</v>
      </c>
      <c r="G223" s="116">
        <f>(Indeks!G223/Indeks!$G$40*Indeks!$G$2)/Indeks!H223*100</f>
        <v>3.2686601973518185E-2</v>
      </c>
      <c r="H223" s="116">
        <f t="shared" si="31"/>
        <v>1.0000000000000002</v>
      </c>
    </row>
    <row r="224" spans="1:8" x14ac:dyDescent="0.2">
      <c r="A224" s="12">
        <f t="shared" si="32"/>
        <v>2023</v>
      </c>
      <c r="B224" s="13" t="s">
        <v>11</v>
      </c>
      <c r="C224" s="116">
        <f>(Indeks!C224/Indeks!$C$40*Indeks!$C$2)/Indeks!H224*100</f>
        <v>0.61736529956400821</v>
      </c>
      <c r="D224" s="116">
        <f>(Indeks!D224/Indeks!$D$40*Indeks!$D$2)/Indeks!H224*100</f>
        <v>0.18723241883607925</v>
      </c>
      <c r="E224" s="116">
        <f>(Indeks!E224/Indeks!$E$40*Indeks!$E$2)/Indeks!H224*100</f>
        <v>7.8968264007853964E-2</v>
      </c>
      <c r="F224" s="116">
        <f>(Indeks!F224/Indeks!$F$40*Indeks!$F$2)/Indeks!H224*100</f>
        <v>8.5511362482436487E-2</v>
      </c>
      <c r="G224" s="116">
        <f>(Indeks!G224/Indeks!$G$40*Indeks!$G$2)/Indeks!H224*100</f>
        <v>3.0922655109622155E-2</v>
      </c>
      <c r="H224" s="116">
        <f t="shared" si="31"/>
        <v>1</v>
      </c>
    </row>
    <row r="225" spans="1:8" x14ac:dyDescent="0.2">
      <c r="A225" s="16">
        <f t="shared" si="32"/>
        <v>2023</v>
      </c>
      <c r="B225" s="17" t="s">
        <v>12</v>
      </c>
      <c r="C225" s="117">
        <f>(Indeks!C225/Indeks!$C$40*Indeks!$C$2)/Indeks!H225*100</f>
        <v>0.61866050321269495</v>
      </c>
      <c r="D225" s="117">
        <f>(Indeks!D225/Indeks!$D$40*Indeks!$D$2)/Indeks!H225*100</f>
        <v>0.18497514995013703</v>
      </c>
      <c r="E225" s="117">
        <f>(Indeks!E225/Indeks!$E$40*Indeks!$E$2)/Indeks!H225*100</f>
        <v>7.9336324330782429E-2</v>
      </c>
      <c r="F225" s="117">
        <f>(Indeks!F225/Indeks!$F$40*Indeks!$F$2)/Indeks!H225*100</f>
        <v>8.5760485310582862E-2</v>
      </c>
      <c r="G225" s="117">
        <f>(Indeks!G225/Indeks!$G$40*Indeks!$G$2)/Indeks!H225*100</f>
        <v>3.1267537195802657E-2</v>
      </c>
      <c r="H225" s="117">
        <f t="shared" si="31"/>
        <v>0.99999999999999989</v>
      </c>
    </row>
    <row r="226" spans="1:8" x14ac:dyDescent="0.2">
      <c r="A226" s="21">
        <f t="shared" si="32"/>
        <v>2023</v>
      </c>
      <c r="B226" s="26" t="s">
        <v>30</v>
      </c>
      <c r="C226" s="116">
        <f>(Indeks!C226/Indeks!$C$40*Indeks!$C$2)/Indeks!H226*100</f>
        <v>0.63491176903028246</v>
      </c>
      <c r="D226" s="116">
        <f>(Indeks!D226/Indeks!$D$40*Indeks!$D$2)/Indeks!H226*100</f>
        <v>0.16579775677415406</v>
      </c>
      <c r="E226" s="116">
        <f>(Indeks!E226/Indeks!$E$40*Indeks!$E$2)/Indeks!H226*100</f>
        <v>7.9567000426620474E-2</v>
      </c>
      <c r="F226" s="116">
        <f>(Indeks!F226/Indeks!$F$40*Indeks!$F$2)/Indeks!H226*100</f>
        <v>8.698350912456497E-2</v>
      </c>
      <c r="G226" s="116">
        <f>(Indeks!G226/Indeks!$G$40*Indeks!$G$2)/Indeks!H226*100</f>
        <v>3.2739964644378027E-2</v>
      </c>
      <c r="H226" s="116">
        <f t="shared" si="31"/>
        <v>1</v>
      </c>
    </row>
    <row r="227" spans="1:8" x14ac:dyDescent="0.2">
      <c r="A227" s="12">
        <f t="shared" si="32"/>
        <v>2023</v>
      </c>
      <c r="B227" s="13" t="s">
        <v>13</v>
      </c>
      <c r="C227" s="116">
        <f>(Indeks!C227/Indeks!$C$40*Indeks!$C$2)/Indeks!H227*100</f>
        <v>0.63314046376875299</v>
      </c>
      <c r="D227" s="116">
        <f>(Indeks!D227/Indeks!$D$40*Indeks!$D$2)/Indeks!H227*100</f>
        <v>0.16515607870589311</v>
      </c>
      <c r="E227" s="116">
        <f>(Indeks!E227/Indeks!$E$40*Indeks!$E$2)/Indeks!H227*100</f>
        <v>7.9618624368877886E-2</v>
      </c>
      <c r="F227" s="116">
        <f>(Indeks!F227/Indeks!$F$40*Indeks!$F$2)/Indeks!H227*100</f>
        <v>8.7164999218988043E-2</v>
      </c>
      <c r="G227" s="116">
        <f>(Indeks!G227/Indeks!$G$40*Indeks!$G$2)/Indeks!H227*100</f>
        <v>3.491983393748798E-2</v>
      </c>
      <c r="H227" s="116">
        <f t="shared" si="31"/>
        <v>1</v>
      </c>
    </row>
    <row r="228" spans="1:8" x14ac:dyDescent="0.2">
      <c r="A228" s="16">
        <f t="shared" si="32"/>
        <v>2023</v>
      </c>
      <c r="B228" s="17" t="s">
        <v>14</v>
      </c>
      <c r="C228" s="117">
        <f>(Indeks!C228/Indeks!$C$40*Indeks!$C$2)/Indeks!H228*100</f>
        <v>0.62661982230145075</v>
      </c>
      <c r="D228" s="117">
        <f>(Indeks!D228/Indeks!$D$40*Indeks!$D$2)/Indeks!H228*100</f>
        <v>0.17161018450574886</v>
      </c>
      <c r="E228" s="117">
        <f>(Indeks!E228/Indeks!$E$40*Indeks!$E$2)/Indeks!H228*100</f>
        <v>8.0220266202577745E-2</v>
      </c>
      <c r="F228" s="117">
        <f>(Indeks!F228/Indeks!$F$40*Indeks!$F$2)/Indeks!H228*100</f>
        <v>8.7176846591402693E-2</v>
      </c>
      <c r="G228" s="117">
        <f>(Indeks!G228/Indeks!$G$40*Indeks!$G$2)/Indeks!H228*100</f>
        <v>3.4372880398820277E-2</v>
      </c>
      <c r="H228" s="117">
        <f t="shared" si="31"/>
        <v>1.0000000000000002</v>
      </c>
    </row>
    <row r="229" spans="1:8" x14ac:dyDescent="0.2">
      <c r="A229" s="32">
        <f t="shared" si="32"/>
        <v>2023</v>
      </c>
      <c r="B229" s="22" t="s">
        <v>15</v>
      </c>
      <c r="C229" s="116">
        <f>(Indeks!C229/Indeks!$C$40*Indeks!$C$2)/Indeks!H229*100</f>
        <v>0.62293008767202995</v>
      </c>
      <c r="D229" s="116">
        <f>(Indeks!D229/Indeks!$D$40*Indeks!$D$2)/Indeks!H229*100</f>
        <v>0.17828958451354515</v>
      </c>
      <c r="E229" s="116">
        <f>(Indeks!E229/Indeks!$E$40*Indeks!$E$2)/Indeks!H229*100</f>
        <v>7.8791529367529173E-2</v>
      </c>
      <c r="F229" s="116">
        <f>(Indeks!F229/Indeks!$F$40*Indeks!$F$2)/Indeks!H229*100</f>
        <v>8.5998635547112942E-2</v>
      </c>
      <c r="G229" s="116">
        <f>(Indeks!G229/Indeks!$G$40*Indeks!$G$2)/Indeks!H229*100</f>
        <v>3.3990162899782753E-2</v>
      </c>
      <c r="H229" s="116">
        <f t="shared" si="31"/>
        <v>1</v>
      </c>
    </row>
    <row r="230" spans="1:8" x14ac:dyDescent="0.2">
      <c r="A230" s="32">
        <f t="shared" si="32"/>
        <v>2023</v>
      </c>
      <c r="B230" s="67" t="s">
        <v>16</v>
      </c>
      <c r="C230" s="116">
        <f>(Indeks!C230/Indeks!$C$40*Indeks!$C$2)/Indeks!H230*100</f>
        <v>0.62096333433458417</v>
      </c>
      <c r="D230" s="116">
        <f>(Indeks!D230/Indeks!$D$40*Indeks!$D$2)/Indeks!H230*100</f>
        <v>0.17999850339936496</v>
      </c>
      <c r="E230" s="116">
        <f>(Indeks!E230/Indeks!$E$40*Indeks!$E$2)/Indeks!H230*100</f>
        <v>7.8342569925169137E-2</v>
      </c>
      <c r="F230" s="116">
        <f>(Indeks!F230/Indeks!$F$40*Indeks!$F$2)/Indeks!H230*100</f>
        <v>8.552021160696649E-2</v>
      </c>
      <c r="G230" s="116">
        <f>(Indeks!G230/Indeks!$G$40*Indeks!$G$2)/Indeks!H230*100</f>
        <v>3.5175380733915101E-2</v>
      </c>
      <c r="H230" s="116">
        <f t="shared" si="31"/>
        <v>0.99999999999999989</v>
      </c>
    </row>
    <row r="231" spans="1:8" ht="13.5" thickBot="1" x14ac:dyDescent="0.25">
      <c r="A231" s="72">
        <f t="shared" si="32"/>
        <v>2023</v>
      </c>
      <c r="B231" s="73" t="s">
        <v>17</v>
      </c>
      <c r="C231" s="93">
        <f>(Indeks!C231/Indeks!$C$40*Indeks!$C$2)/Indeks!H231*100</f>
        <v>0.61344136637363844</v>
      </c>
      <c r="D231" s="93">
        <f>(Indeks!D231/Indeks!$D$40*Indeks!$D$2)/Indeks!H231*100</f>
        <v>0.19007547723935145</v>
      </c>
      <c r="E231" s="93">
        <f>(Indeks!E231/Indeks!$E$40*Indeks!$E$2)/Indeks!H231*100</f>
        <v>7.7591345145192905E-2</v>
      </c>
      <c r="F231" s="93">
        <f>(Indeks!F231/Indeks!$F$40*Indeks!$F$2)/Indeks!H231*100</f>
        <v>8.4416139877854776E-2</v>
      </c>
      <c r="G231" s="93">
        <f>(Indeks!G231/Indeks!$G$40*Indeks!$G$2)/Indeks!H231*100</f>
        <v>3.447567136396236E-2</v>
      </c>
      <c r="H231" s="93">
        <f t="shared" si="31"/>
        <v>1</v>
      </c>
    </row>
    <row r="232" spans="1:8" x14ac:dyDescent="0.2">
      <c r="A232" s="8">
        <v>2024</v>
      </c>
      <c r="B232" s="67" t="s">
        <v>7</v>
      </c>
      <c r="C232" s="116">
        <f>(Indeks!C232/Indeks!$C$40*Indeks!$C$2)/Indeks!H232*100</f>
        <v>0.61317299168079631</v>
      </c>
      <c r="D232" s="116">
        <f>(Indeks!D232/Indeks!$D$40*Indeks!$D$2)/Indeks!H232*100</f>
        <v>0.19582114225792663</v>
      </c>
      <c r="E232" s="116">
        <f>(Indeks!E232/Indeks!$E$40*Indeks!$E$2)/Indeks!H232*100</f>
        <v>7.6337091767913798E-2</v>
      </c>
      <c r="F232" s="116">
        <f>(Indeks!F232/Indeks!$F$40*Indeks!$F$2)/Indeks!H232*100</f>
        <v>8.3065736604956433E-2</v>
      </c>
      <c r="G232" s="116">
        <f>(Indeks!G232/Indeks!$G$40*Indeks!$G$2)/Indeks!H232*100</f>
        <v>3.1603037688406707E-2</v>
      </c>
      <c r="H232" s="116">
        <f t="shared" ref="H232:H243" si="33">SUM(C232:G232)</f>
        <v>0.99999999999999989</v>
      </c>
    </row>
    <row r="233" spans="1:8" x14ac:dyDescent="0.2">
      <c r="A233" s="12">
        <f>A232</f>
        <v>2024</v>
      </c>
      <c r="B233" s="13" t="s">
        <v>8</v>
      </c>
      <c r="C233" s="116">
        <f>(Indeks!C233/Indeks!$C$40*Indeks!$C$2)/Indeks!H233*100</f>
        <v>0.62575881157482638</v>
      </c>
      <c r="D233" s="116">
        <f>(Indeks!D233/Indeks!$D$40*Indeks!$D$2)/Indeks!H233*100</f>
        <v>0.18288276718642305</v>
      </c>
      <c r="E233" s="116">
        <f>(Indeks!E233/Indeks!$E$40*Indeks!$E$2)/Indeks!H233*100</f>
        <v>7.7505480123180842E-2</v>
      </c>
      <c r="F233" s="116">
        <f>(Indeks!F233/Indeks!$F$40*Indeks!$F$2)/Indeks!H233*100</f>
        <v>8.4633440509464974E-2</v>
      </c>
      <c r="G233" s="116">
        <f>(Indeks!G233/Indeks!$G$40*Indeks!$G$2)/Indeks!H233*100</f>
        <v>2.9219500606104683E-2</v>
      </c>
      <c r="H233" s="116">
        <f t="shared" si="33"/>
        <v>0.99999999999999989</v>
      </c>
    </row>
    <row r="234" spans="1:8" x14ac:dyDescent="0.2">
      <c r="A234" s="16">
        <f t="shared" ref="A234:A243" si="34">A233</f>
        <v>2024</v>
      </c>
      <c r="B234" s="17" t="s">
        <v>9</v>
      </c>
      <c r="C234" s="117">
        <f>(Indeks!C234/Indeks!$C$40*Indeks!$C$2)/Indeks!H234*100</f>
        <v>0.63186966531504862</v>
      </c>
      <c r="D234" s="117">
        <f>(Indeks!D234/Indeks!$D$40*Indeks!$D$2)/Indeks!H234*100</f>
        <v>0.17439470247056557</v>
      </c>
      <c r="E234" s="117">
        <f>(Indeks!E234/Indeks!$E$40*Indeks!$E$2)/Indeks!H234*100</f>
        <v>7.9000052129094556E-2</v>
      </c>
      <c r="F234" s="117">
        <f>(Indeks!F234/Indeks!$F$40*Indeks!$F$2)/Indeks!H234*100</f>
        <v>8.4766823522487489E-2</v>
      </c>
      <c r="G234" s="117">
        <f>(Indeks!G234/Indeks!$G$40*Indeks!$G$2)/Indeks!H234*100</f>
        <v>2.9968756562803685E-2</v>
      </c>
      <c r="H234" s="117">
        <f t="shared" si="33"/>
        <v>1</v>
      </c>
    </row>
    <row r="235" spans="1:8" x14ac:dyDescent="0.2">
      <c r="A235" s="21">
        <f t="shared" si="34"/>
        <v>2024</v>
      </c>
      <c r="B235" s="22" t="s">
        <v>10</v>
      </c>
      <c r="C235" s="116">
        <f>(Indeks!C235/Indeks!$C$40*Indeks!$C$2)/Indeks!H235*100</f>
        <v>0.63987648594398205</v>
      </c>
      <c r="D235" s="116">
        <f>(Indeks!D235/Indeks!$D$40*Indeks!$D$2)/Indeks!H235*100</f>
        <v>0.16357014037795728</v>
      </c>
      <c r="E235" s="116">
        <f>(Indeks!E235/Indeks!$E$40*Indeks!$E$2)/Indeks!H235*100</f>
        <v>7.973332184602934E-2</v>
      </c>
      <c r="F235" s="116">
        <f>(Indeks!F235/Indeks!$F$40*Indeks!$F$2)/Indeks!H235*100</f>
        <v>8.5328869234523555E-2</v>
      </c>
      <c r="G235" s="116">
        <f>(Indeks!G235/Indeks!$G$40*Indeks!$G$2)/Indeks!H235*100</f>
        <v>3.1491182597507758E-2</v>
      </c>
      <c r="H235" s="116">
        <f t="shared" si="33"/>
        <v>0.99999999999999989</v>
      </c>
    </row>
    <row r="236" spans="1:8" x14ac:dyDescent="0.2">
      <c r="A236" s="12">
        <f t="shared" si="34"/>
        <v>2024</v>
      </c>
      <c r="B236" s="13" t="s">
        <v>11</v>
      </c>
      <c r="C236" s="116">
        <f>(Indeks!C236/Indeks!$C$40*Indeks!$C$2)/Indeks!H236*100</f>
        <v>0.63903692108467525</v>
      </c>
      <c r="D236" s="116">
        <f>(Indeks!D236/Indeks!$D$40*Indeks!$D$2)/Indeks!H236*100</f>
        <v>0.16485258307618417</v>
      </c>
      <c r="E236" s="116">
        <f>(Indeks!E236/Indeks!$E$40*Indeks!$E$2)/Indeks!H236*100</f>
        <v>7.9628705882467274E-2</v>
      </c>
      <c r="F236" s="116">
        <f>(Indeks!F236/Indeks!$F$40*Indeks!$F$2)/Indeks!H236*100</f>
        <v>8.4938879164882769E-2</v>
      </c>
      <c r="G236" s="116">
        <f>(Indeks!G236/Indeks!$G$40*Indeks!$G$2)/Indeks!H236*100</f>
        <v>3.1542910791790446E-2</v>
      </c>
      <c r="H236" s="116">
        <f t="shared" si="33"/>
        <v>0.99999999999999978</v>
      </c>
    </row>
    <row r="237" spans="1:8" x14ac:dyDescent="0.2">
      <c r="A237" s="16">
        <f t="shared" si="34"/>
        <v>2024</v>
      </c>
      <c r="B237" s="17" t="s">
        <v>12</v>
      </c>
      <c r="C237" s="117">
        <f>(Indeks!C237/Indeks!$C$40*Indeks!$C$2)/Indeks!H237*100</f>
        <v>0.62923256860199017</v>
      </c>
      <c r="D237" s="117">
        <f>(Indeks!D237/Indeks!$D$40*Indeks!$D$2)/Indeks!H237*100</f>
        <v>0.17689083095620936</v>
      </c>
      <c r="E237" s="117">
        <f>(Indeks!E237/Indeks!$E$40*Indeks!$E$2)/Indeks!H237*100</f>
        <v>7.8473233507263124E-2</v>
      </c>
      <c r="F237" s="117">
        <f>(Indeks!F237/Indeks!$F$40*Indeks!$F$2)/Indeks!H237*100</f>
        <v>8.3977922234140828E-2</v>
      </c>
      <c r="G237" s="117">
        <f>(Indeks!G237/Indeks!$G$40*Indeks!$G$2)/Indeks!H237*100</f>
        <v>3.1425444700396508E-2</v>
      </c>
      <c r="H237" s="117">
        <f t="shared" si="33"/>
        <v>1</v>
      </c>
    </row>
    <row r="238" spans="1:8" x14ac:dyDescent="0.2">
      <c r="A238" s="21">
        <f t="shared" si="34"/>
        <v>2024</v>
      </c>
      <c r="B238" s="26" t="s">
        <v>30</v>
      </c>
      <c r="C238" s="116">
        <f>(Indeks!C238/Indeks!$C$40*Indeks!$C$2)/Indeks!H238*100</f>
        <v>0.62721665775667679</v>
      </c>
      <c r="D238" s="116">
        <f>(Indeks!D238/Indeks!$D$40*Indeks!$D$2)/Indeks!H238*100</f>
        <v>0.18025564375270758</v>
      </c>
      <c r="E238" s="116">
        <f>(Indeks!E238/Indeks!$E$40*Indeks!$E$2)/Indeks!H238*100</f>
        <v>7.7570393062479093E-2</v>
      </c>
      <c r="F238" s="116">
        <f>(Indeks!F238/Indeks!$F$40*Indeks!$F$2)/Indeks!H238*100</f>
        <v>8.3350021121773532E-2</v>
      </c>
      <c r="G238" s="116">
        <f>(Indeks!G238/Indeks!$G$40*Indeks!$G$2)/Indeks!H238*100</f>
        <v>3.1607284306363038E-2</v>
      </c>
      <c r="H238" s="116">
        <f t="shared" si="33"/>
        <v>1</v>
      </c>
    </row>
    <row r="239" spans="1:8" x14ac:dyDescent="0.2">
      <c r="A239" s="12">
        <f t="shared" si="34"/>
        <v>2024</v>
      </c>
      <c r="B239" s="13" t="s">
        <v>13</v>
      </c>
      <c r="C239" s="116">
        <f>(Indeks!C239/Indeks!$C$40*Indeks!$C$2)/Indeks!H239*100</f>
        <v>0.62446063795866258</v>
      </c>
      <c r="D239" s="116">
        <f>(Indeks!D239/Indeks!$D$40*Indeks!$D$2)/Indeks!H239*100</f>
        <v>0.18466914543377955</v>
      </c>
      <c r="E239" s="116">
        <f>(Indeks!E239/Indeks!$E$40*Indeks!$E$2)/Indeks!H239*100</f>
        <v>7.7229545069403521E-2</v>
      </c>
      <c r="F239" s="116">
        <f>(Indeks!F239/Indeks!$F$40*Indeks!$F$2)/Indeks!H239*100</f>
        <v>8.2983777168371353E-2</v>
      </c>
      <c r="G239" s="116">
        <f>(Indeks!G239/Indeks!$G$40*Indeks!$G$2)/Indeks!H239*100</f>
        <v>3.0656894369783087E-2</v>
      </c>
      <c r="H239" s="116">
        <f t="shared" si="33"/>
        <v>1</v>
      </c>
    </row>
    <row r="240" spans="1:8" x14ac:dyDescent="0.2">
      <c r="A240" s="63">
        <f t="shared" si="34"/>
        <v>2024</v>
      </c>
      <c r="B240" s="64" t="s">
        <v>14</v>
      </c>
      <c r="C240" s="117">
        <f>(Indeks!C240/Indeks!$C$40*Indeks!$C$2)/Indeks!H240*100</f>
        <v>0.62778636955435208</v>
      </c>
      <c r="D240" s="117">
        <f>(Indeks!D240/Indeks!$D$40*Indeks!$D$2)/Indeks!H240*100</f>
        <v>0.18187782736465058</v>
      </c>
      <c r="E240" s="117">
        <f>(Indeks!E240/Indeks!$E$40*Indeks!$E$2)/Indeks!H240*100</f>
        <v>7.8492607777348261E-2</v>
      </c>
      <c r="F240" s="117">
        <f>(Indeks!F240/Indeks!$F$40*Indeks!$F$2)/Indeks!H240*100</f>
        <v>8.3561160774322227E-2</v>
      </c>
      <c r="G240" s="117">
        <f>(Indeks!G240/Indeks!$G$40*Indeks!$G$2)/Indeks!H240*100</f>
        <v>2.8282034529326937E-2</v>
      </c>
      <c r="H240" s="117">
        <f t="shared" si="33"/>
        <v>1</v>
      </c>
    </row>
    <row r="241" spans="1:8" x14ac:dyDescent="0.2">
      <c r="A241" s="32">
        <f t="shared" si="34"/>
        <v>2024</v>
      </c>
      <c r="B241" s="67" t="s">
        <v>15</v>
      </c>
      <c r="C241" s="116">
        <f>(Indeks!C241/Indeks!$C$40*Indeks!$C$2)/Indeks!H241*100</f>
        <v>0.6245470252760893</v>
      </c>
      <c r="D241" s="116">
        <f>(Indeks!D241/Indeks!$D$40*Indeks!$D$2)/Indeks!H241*100</f>
        <v>0.19024386501009691</v>
      </c>
      <c r="E241" s="116">
        <f>(Indeks!E241/Indeks!$E$40*Indeks!$E$2)/Indeks!H241*100</f>
        <v>7.639143205453619E-2</v>
      </c>
      <c r="F241" s="116">
        <f>(Indeks!F241/Indeks!$F$40*Indeks!$F$2)/Indeks!H241*100</f>
        <v>8.1797502414822615E-2</v>
      </c>
      <c r="G241" s="116">
        <f>(Indeks!G241/Indeks!$G$40*Indeks!$G$2)/Indeks!H241*100</f>
        <v>2.7020175244455248E-2</v>
      </c>
      <c r="H241" s="116">
        <f t="shared" si="33"/>
        <v>1.0000000000000004</v>
      </c>
    </row>
    <row r="242" spans="1:8" x14ac:dyDescent="0.2">
      <c r="A242" s="32">
        <f t="shared" si="34"/>
        <v>2024</v>
      </c>
      <c r="B242" s="67" t="s">
        <v>16</v>
      </c>
      <c r="C242" s="116">
        <f>(Indeks!C242/Indeks!$C$40*Indeks!$C$2)/Indeks!H242*100</f>
        <v>0.62618225817915218</v>
      </c>
      <c r="D242" s="116">
        <f>(Indeks!D242/Indeks!$D$40*Indeks!$D$2)/Indeks!H242*100</f>
        <v>0.19048978186090104</v>
      </c>
      <c r="E242" s="116">
        <f>(Indeks!E242/Indeks!$E$40*Indeks!$E$2)/Indeks!H242*100</f>
        <v>7.633464263453546E-2</v>
      </c>
      <c r="F242" s="116">
        <f>(Indeks!F242/Indeks!$F$40*Indeks!$F$2)/Indeks!H242*100</f>
        <v>8.1945317898715342E-2</v>
      </c>
      <c r="G242" s="116">
        <f>(Indeks!G242/Indeks!$G$40*Indeks!$G$2)/Indeks!H242*100</f>
        <v>2.504799942669611E-2</v>
      </c>
      <c r="H242" s="116">
        <f t="shared" si="33"/>
        <v>1.0000000000000002</v>
      </c>
    </row>
    <row r="243" spans="1:8" ht="13.5" thickBot="1" x14ac:dyDescent="0.25">
      <c r="A243" s="72">
        <f t="shared" si="34"/>
        <v>2024</v>
      </c>
      <c r="B243" s="73" t="s">
        <v>17</v>
      </c>
      <c r="C243" s="93">
        <f>(Indeks!C243/Indeks!$C$40*Indeks!$C$2)/Indeks!H243*100</f>
        <v>0.62465612439102991</v>
      </c>
      <c r="D243" s="93">
        <f>(Indeks!D243/Indeks!$D$40*Indeks!$D$2)/Indeks!H243*100</f>
        <v>0.19170270848859589</v>
      </c>
      <c r="E243" s="93">
        <f>(Indeks!E243/Indeks!$E$40*Indeks!$E$2)/Indeks!H243*100</f>
        <v>7.6596909221696083E-2</v>
      </c>
      <c r="F243" s="93">
        <f>(Indeks!F243/Indeks!$F$40*Indeks!$F$2)/Indeks!H243*100</f>
        <v>8.134845583975657E-2</v>
      </c>
      <c r="G243" s="93">
        <f>(Indeks!G243/Indeks!$G$40*Indeks!$G$2)/Indeks!H243*100</f>
        <v>2.5695802058921389E-2</v>
      </c>
      <c r="H243" s="93">
        <f t="shared" si="33"/>
        <v>0.99999999999999989</v>
      </c>
    </row>
    <row r="244" spans="1:8" x14ac:dyDescent="0.2">
      <c r="A244" s="8">
        <v>2025</v>
      </c>
      <c r="B244" s="67" t="s">
        <v>7</v>
      </c>
      <c r="C244" s="116">
        <f>(Indeks!C244/Indeks!$C$40*Indeks!$C$2)/Indeks!H244*100</f>
        <v>0.6245981771578879</v>
      </c>
      <c r="D244" s="116">
        <f>(Indeks!D244/Indeks!$D$40*Indeks!$D$2)/Indeks!H244*100</f>
        <v>0.19455591153822474</v>
      </c>
      <c r="E244" s="116">
        <f>(Indeks!E244/Indeks!$E$40*Indeks!$E$2)/Indeks!H244*100</f>
        <v>7.6046501868449801E-2</v>
      </c>
      <c r="F244" s="116">
        <f>(Indeks!F244/Indeks!$F$40*Indeks!$F$2)/Indeks!H244*100</f>
        <v>8.1232731783521542E-2</v>
      </c>
      <c r="G244" s="116">
        <f>(Indeks!G244/Indeks!$G$40*Indeks!$G$2)/Indeks!H244*100</f>
        <v>2.3566677651915842E-2</v>
      </c>
      <c r="H244" s="116">
        <f t="shared" ref="H244:H255" si="35">SUM(C244:G244)</f>
        <v>0.99999999999999978</v>
      </c>
    </row>
    <row r="245" spans="1:8" x14ac:dyDescent="0.2">
      <c r="A245" s="12">
        <f>A244</f>
        <v>2025</v>
      </c>
      <c r="B245" s="13" t="s">
        <v>8</v>
      </c>
      <c r="C245" s="116">
        <f>(Indeks!C245/Indeks!$C$40*Indeks!$C$2)/Indeks!H245*100</f>
        <v>0.62226286414526033</v>
      </c>
      <c r="D245" s="116">
        <f>(Indeks!D245/Indeks!$D$40*Indeks!$D$2)/Indeks!H245*100</f>
        <v>0.19624197892040415</v>
      </c>
      <c r="E245" s="116">
        <f>(Indeks!E245/Indeks!$E$40*Indeks!$E$2)/Indeks!H245*100</f>
        <v>7.5571494645488346E-2</v>
      </c>
      <c r="F245" s="116">
        <f>(Indeks!F245/Indeks!$F$40*Indeks!$F$2)/Indeks!H245*100</f>
        <v>8.1126077742373293E-2</v>
      </c>
      <c r="G245" s="116">
        <f>(Indeks!G245/Indeks!$G$40*Indeks!$G$2)/Indeks!H245*100</f>
        <v>2.4797584546473843E-2</v>
      </c>
      <c r="H245" s="116">
        <f t="shared" si="35"/>
        <v>1</v>
      </c>
    </row>
    <row r="246" spans="1:8" x14ac:dyDescent="0.2">
      <c r="A246" s="16">
        <f t="shared" ref="A246:A255" si="36">A245</f>
        <v>2025</v>
      </c>
      <c r="B246" s="17" t="s">
        <v>9</v>
      </c>
      <c r="C246" s="117">
        <f>(Indeks!C246/Indeks!$C$40*Indeks!$C$2)/Indeks!H246*100</f>
        <v>0.61989794067377946</v>
      </c>
      <c r="D246" s="117">
        <f>(Indeks!D246/Indeks!$D$40*Indeks!$D$2)/Indeks!H246*100</f>
        <v>0.20013898349639028</v>
      </c>
      <c r="E246" s="117">
        <f>(Indeks!E246/Indeks!$E$40*Indeks!$E$2)/Indeks!H246*100</f>
        <v>7.5727504727386097E-2</v>
      </c>
      <c r="F246" s="117">
        <f>(Indeks!F246/Indeks!$F$40*Indeks!$F$2)/Indeks!H246*100</f>
        <v>8.0320634805584254E-2</v>
      </c>
      <c r="G246" s="117">
        <f>(Indeks!G246/Indeks!$G$40*Indeks!$G$2)/Indeks!H246*100</f>
        <v>2.3914936296859632E-2</v>
      </c>
      <c r="H246" s="117">
        <f t="shared" si="35"/>
        <v>0.99999999999999967</v>
      </c>
    </row>
    <row r="247" spans="1:8" x14ac:dyDescent="0.2">
      <c r="A247" s="21">
        <f t="shared" si="36"/>
        <v>2025</v>
      </c>
      <c r="B247" s="22" t="s">
        <v>10</v>
      </c>
      <c r="C247" s="116">
        <f>(Indeks!C247/Indeks!$C$40*Indeks!$C$2)/Indeks!H247*100</f>
        <v>0.61797905002582576</v>
      </c>
      <c r="D247" s="116">
        <f>(Indeks!D247/Indeks!$D$40*Indeks!$D$2)/Indeks!H247*100</f>
        <v>0.20391946905916322</v>
      </c>
      <c r="E247" s="116">
        <f>(Indeks!E247/Indeks!$E$40*Indeks!$E$2)/Indeks!H247*100</f>
        <v>7.5583808727033144E-2</v>
      </c>
      <c r="F247" s="116">
        <f>(Indeks!F247/Indeks!$F$40*Indeks!$F$2)/Indeks!H247*100</f>
        <v>7.923149313670122E-2</v>
      </c>
      <c r="G247" s="116">
        <f>(Indeks!G247/Indeks!$G$40*Indeks!$G$2)/Indeks!H247*100</f>
        <v>2.3286179051276445E-2</v>
      </c>
      <c r="H247" s="116">
        <f t="shared" si="35"/>
        <v>0.99999999999999978</v>
      </c>
    </row>
    <row r="248" spans="1:8" x14ac:dyDescent="0.2">
      <c r="A248" s="12">
        <f t="shared" si="36"/>
        <v>2025</v>
      </c>
      <c r="B248" s="13" t="s">
        <v>11</v>
      </c>
      <c r="C248" s="116">
        <f>(Indeks!C248/Indeks!$C$40*Indeks!$C$2)/Indeks!H248*100</f>
        <v>0.62895996815778865</v>
      </c>
      <c r="D248" s="116">
        <f>(Indeks!D248/Indeks!$D$40*Indeks!$D$2)/Indeks!H248*100</f>
        <v>0.18969874082623558</v>
      </c>
      <c r="E248" s="116">
        <f>(Indeks!E248/Indeks!$E$40*Indeks!$E$2)/Indeks!H248*100</f>
        <v>7.6544776273456613E-2</v>
      </c>
      <c r="F248" s="116">
        <f>(Indeks!F248/Indeks!$F$40*Indeks!$F$2)/Indeks!H248*100</f>
        <v>8.056793826543808E-2</v>
      </c>
      <c r="G248" s="116">
        <f>(Indeks!G248/Indeks!$G$40*Indeks!$G$2)/Indeks!H248*100</f>
        <v>2.4228576477080887E-2</v>
      </c>
      <c r="H248" s="116">
        <f t="shared" si="35"/>
        <v>0.99999999999999978</v>
      </c>
    </row>
    <row r="249" spans="1:8" x14ac:dyDescent="0.2">
      <c r="A249" s="16">
        <f t="shared" si="36"/>
        <v>2025</v>
      </c>
      <c r="B249" s="17" t="s">
        <v>12</v>
      </c>
      <c r="C249" s="117">
        <f>(Indeks!C249/Indeks!$C$40*Indeks!$C$2)/Indeks!H249*100</f>
        <v>0.64364454601560872</v>
      </c>
      <c r="D249" s="117">
        <f>(Indeks!D249/Indeks!$D$40*Indeks!$D$2)/Indeks!H249*100</f>
        <v>0.17066172533942747</v>
      </c>
      <c r="E249" s="117">
        <f>(Indeks!E249/Indeks!$E$40*Indeks!$E$2)/Indeks!H249*100</f>
        <v>7.8397065495110635E-2</v>
      </c>
      <c r="F249" s="117">
        <f>(Indeks!F249/Indeks!$F$40*Indeks!$F$2)/Indeks!H249*100</f>
        <v>8.3764665248333495E-2</v>
      </c>
      <c r="G249" s="117">
        <f>(Indeks!G249/Indeks!$G$40*Indeks!$G$2)/Indeks!H249*100</f>
        <v>2.3531997901519545E-2</v>
      </c>
      <c r="H249" s="117">
        <f t="shared" si="35"/>
        <v>0.99999999999999978</v>
      </c>
    </row>
    <row r="250" spans="1:8" x14ac:dyDescent="0.2">
      <c r="A250" s="21">
        <f t="shared" si="36"/>
        <v>2025</v>
      </c>
      <c r="B250" s="26" t="s">
        <v>30</v>
      </c>
      <c r="C250" s="116">
        <f>(Indeks!C250/Indeks!$C$40*Indeks!$C$2)/Indeks!H250*100</f>
        <v>0.64484621746029447</v>
      </c>
      <c r="D250" s="116">
        <f>(Indeks!D250/Indeks!$D$40*Indeks!$D$2)/Indeks!H250*100</f>
        <v>0.16902618954416618</v>
      </c>
      <c r="E250" s="116">
        <f>(Indeks!E250/Indeks!$E$40*Indeks!$E$2)/Indeks!H250*100</f>
        <v>7.8297522457715998E-2</v>
      </c>
      <c r="F250" s="116">
        <f>(Indeks!F250/Indeks!$F$40*Indeks!$F$2)/Indeks!H250*100</f>
        <v>8.380764207848794E-2</v>
      </c>
      <c r="G250" s="116">
        <f>(Indeks!G250/Indeks!$G$40*Indeks!$G$2)/Indeks!H250*100</f>
        <v>2.4022428459335318E-2</v>
      </c>
      <c r="H250" s="116">
        <f t="shared" si="35"/>
        <v>0.99999999999999989</v>
      </c>
    </row>
    <row r="251" spans="1:8" x14ac:dyDescent="0.2">
      <c r="A251" s="12">
        <f t="shared" si="36"/>
        <v>2025</v>
      </c>
      <c r="B251" s="13" t="s">
        <v>13</v>
      </c>
      <c r="C251" s="108">
        <f>(Indeks!C251/Indeks!$C$40*Indeks!$C$2)/Indeks!H251*100</f>
        <v>0.64479376937974731</v>
      </c>
      <c r="D251" s="108">
        <f>(Indeks!D251/Indeks!$D$40*Indeks!$D$2)/Indeks!H251*100</f>
        <v>0.16901244192657339</v>
      </c>
      <c r="E251" s="108">
        <f>(Indeks!E251/Indeks!$E$40*Indeks!$E$2)/Indeks!H251*100</f>
        <v>7.8368702365439621E-2</v>
      </c>
      <c r="F251" s="108">
        <f>(Indeks!F251/Indeks!$F$40*Indeks!$F$2)/Indeks!H251*100</f>
        <v>8.3804611714997562E-2</v>
      </c>
      <c r="G251" s="108">
        <f>(Indeks!G251/Indeks!$G$40*Indeks!$G$2)/Indeks!H251*100</f>
        <v>2.4020474613242002E-2</v>
      </c>
      <c r="H251" s="108">
        <f t="shared" si="35"/>
        <v>0.99999999999999978</v>
      </c>
    </row>
    <row r="252" spans="1:8" x14ac:dyDescent="0.2">
      <c r="A252" s="63">
        <f t="shared" si="36"/>
        <v>2025</v>
      </c>
      <c r="B252" s="64" t="s">
        <v>14</v>
      </c>
      <c r="C252" s="111">
        <f>(Indeks!C252/Indeks!$C$40*Indeks!$C$2)/Indeks!H252*100</f>
        <v>0.6447412801998792</v>
      </c>
      <c r="D252" s="111">
        <f>(Indeks!D252/Indeks!$D$40*Indeks!$D$2)/Indeks!H252*100</f>
        <v>0.16899868353608402</v>
      </c>
      <c r="E252" s="111">
        <f>(Indeks!E252/Indeks!$E$40*Indeks!$E$2)/Indeks!H252*100</f>
        <v>7.8439941463306892E-2</v>
      </c>
      <c r="F252" s="111">
        <f>(Indeks!F252/Indeks!$F$40*Indeks!$F$2)/Indeks!H252*100</f>
        <v>8.3801575564652495E-2</v>
      </c>
      <c r="G252" s="111">
        <f>(Indeks!G252/Indeks!$G$40*Indeks!$G$2)/Indeks!H252*100</f>
        <v>2.4018519236077448E-2</v>
      </c>
      <c r="H252" s="111">
        <f t="shared" si="35"/>
        <v>1</v>
      </c>
    </row>
    <row r="253" spans="1:8" x14ac:dyDescent="0.2">
      <c r="A253" s="32">
        <f t="shared" si="36"/>
        <v>2025</v>
      </c>
      <c r="B253" s="67" t="s">
        <v>15</v>
      </c>
      <c r="C253" s="112">
        <f>(Indeks!C253/Indeks!$C$40*Indeks!$C$2)/Indeks!H253*100</f>
        <v>0.64689875875580993</v>
      </c>
      <c r="D253" s="112">
        <f>(Indeks!D253/Indeks!$D$40*Indeks!$D$2)/Indeks!H253*100</f>
        <v>0.16793384109346196</v>
      </c>
      <c r="E253" s="112">
        <f>(Indeks!E253/Indeks!$E$40*Indeks!$E$2)/Indeks!H253*100</f>
        <v>7.8022905870174089E-2</v>
      </c>
      <c r="F253" s="112">
        <f>(Indeks!F253/Indeks!$F$40*Indeks!$F$2)/Indeks!H253*100</f>
        <v>8.3277313138693423E-2</v>
      </c>
      <c r="G253" s="112">
        <f>(Indeks!G253/Indeks!$G$40*Indeks!$G$2)/Indeks!H253*100</f>
        <v>2.386718114186058E-2</v>
      </c>
      <c r="H253" s="112">
        <f t="shared" si="35"/>
        <v>1</v>
      </c>
    </row>
    <row r="254" spans="1:8" x14ac:dyDescent="0.2">
      <c r="A254" s="32">
        <f t="shared" si="36"/>
        <v>2025</v>
      </c>
      <c r="B254" s="67" t="s">
        <v>16</v>
      </c>
      <c r="C254" s="112">
        <f>(Indeks!C254/Indeks!$C$40*Indeks!$C$2)/Indeks!H254*100</f>
        <v>0.64684633516517687</v>
      </c>
      <c r="D254" s="112">
        <f>(Indeks!D254/Indeks!$D$40*Indeks!$D$2)/Indeks!H254*100</f>
        <v>0.1679202320165859</v>
      </c>
      <c r="E254" s="112">
        <f>(Indeks!E254/Indeks!$E$40*Indeks!$E$2)/Indeks!H254*100</f>
        <v>7.8093859236848071E-2</v>
      </c>
      <c r="F254" s="112">
        <f>(Indeks!F254/Indeks!$F$40*Indeks!$F$2)/Indeks!H254*100</f>
        <v>8.3274326595865797E-2</v>
      </c>
      <c r="G254" s="112">
        <f>(Indeks!G254/Indeks!$G$40*Indeks!$G$2)/Indeks!H254*100</f>
        <v>2.3865246985523426E-2</v>
      </c>
      <c r="H254" s="112">
        <f t="shared" si="35"/>
        <v>1</v>
      </c>
    </row>
    <row r="255" spans="1:8" ht="17.25" customHeight="1" thickBot="1" x14ac:dyDescent="0.25">
      <c r="A255" s="72">
        <f t="shared" si="36"/>
        <v>2025</v>
      </c>
      <c r="B255" s="73" t="s">
        <v>17</v>
      </c>
      <c r="C255" s="377">
        <f>(Indeks!C255/Indeks!$C$40*Indeks!$C$2)/Indeks!H255*100</f>
        <v>0.64679387045712278</v>
      </c>
      <c r="D255" s="377">
        <f>(Indeks!D255/Indeks!$D$40*Indeks!$D$2)/Indeks!H255*100</f>
        <v>0.16790661226569581</v>
      </c>
      <c r="E255" s="377">
        <f>(Indeks!E255/Indeks!$E$40*Indeks!$E$2)/Indeks!H255*100</f>
        <v>7.8164871645471909E-2</v>
      </c>
      <c r="F255" s="377">
        <f>(Indeks!F255/Indeks!$F$40*Indeks!$F$2)/Indeks!H255*100</f>
        <v>8.3271334319541104E-2</v>
      </c>
      <c r="G255" s="377">
        <f>(Indeks!G255/Indeks!$G$40*Indeks!$G$2)/Indeks!H255*100</f>
        <v>2.3863311312168463E-2</v>
      </c>
      <c r="H255" s="377">
        <f t="shared" si="35"/>
        <v>1.0000000000000002</v>
      </c>
    </row>
    <row r="256" spans="1:8" x14ac:dyDescent="0.2">
      <c r="A256" s="8">
        <v>2026</v>
      </c>
      <c r="B256" s="67" t="s">
        <v>7</v>
      </c>
      <c r="C256" s="108">
        <f>(Indeks!C256/Indeks!$C$40*Indeks!$C$2)/Indeks!H256*100</f>
        <v>0.64868166864991517</v>
      </c>
      <c r="D256" s="108">
        <f>(Indeks!D256/Indeks!$D$40*Indeks!$D$2)/Indeks!H256*100</f>
        <v>0.16693912145601944</v>
      </c>
      <c r="E256" s="108">
        <f>(Indeks!E256/Indeks!$E$40*Indeks!$E$2)/Indeks!H256*100</f>
        <v>7.7812377666648572E-2</v>
      </c>
      <c r="F256" s="108">
        <f>(Indeks!F256/Indeks!$F$40*Indeks!$F$2)/Indeks!H256*100</f>
        <v>8.2841023149802309E-2</v>
      </c>
      <c r="G256" s="108">
        <f>(Indeks!G256/Indeks!$G$40*Indeks!$G$2)/Indeks!H256*100</f>
        <v>2.37258090776142E-2</v>
      </c>
      <c r="H256" s="108">
        <f t="shared" ref="H256:H267" si="37">SUM(C256:G256)</f>
        <v>0.99999999999999978</v>
      </c>
    </row>
    <row r="257" spans="1:8" x14ac:dyDescent="0.2">
      <c r="A257" s="12">
        <f>A256</f>
        <v>2026</v>
      </c>
      <c r="B257" s="13" t="s">
        <v>8</v>
      </c>
      <c r="C257" s="108">
        <f>(Indeks!C257/Indeks!$C$40*Indeks!$C$2)/Indeks!H257*100</f>
        <v>0.64858596615396813</v>
      </c>
      <c r="D257" s="108">
        <f>(Indeks!D257/Indeks!$D$40*Indeks!$D$2)/Indeks!H257*100</f>
        <v>0.16691449228678792</v>
      </c>
      <c r="E257" s="108">
        <f>(Indeks!E257/Indeks!$E$40*Indeks!$E$2)/Indeks!H257*100</f>
        <v>7.7898904591451518E-2</v>
      </c>
      <c r="F257" s="108">
        <f>(Indeks!F257/Indeks!$F$40*Indeks!$F$2)/Indeks!H257*100</f>
        <v>8.2878328249840982E-2</v>
      </c>
      <c r="G257" s="108">
        <f>(Indeks!G257/Indeks!$G$40*Indeks!$G$2)/Indeks!H257*100</f>
        <v>2.3722308717951168E-2</v>
      </c>
      <c r="H257" s="108">
        <f t="shared" si="37"/>
        <v>0.99999999999999978</v>
      </c>
    </row>
    <row r="258" spans="1:8" x14ac:dyDescent="0.2">
      <c r="A258" s="16">
        <f t="shared" ref="A258:A267" si="38">A257</f>
        <v>2026</v>
      </c>
      <c r="B258" s="17" t="s">
        <v>9</v>
      </c>
      <c r="C258" s="108">
        <f>(Indeks!C258/Indeks!$C$40*Indeks!$C$2)/Indeks!H258*100</f>
        <v>0.64849019263959218</v>
      </c>
      <c r="D258" s="108">
        <f>(Indeks!D258/Indeks!$D$40*Indeks!$D$2)/Indeks!H258*100</f>
        <v>0.16688984484086589</v>
      </c>
      <c r="E258" s="108">
        <f>(Indeks!E258/Indeks!$E$40*Indeks!$E$2)/Indeks!H258*100</f>
        <v>7.7985517495287579E-2</v>
      </c>
      <c r="F258" s="108">
        <f>(Indeks!F258/Indeks!$F$40*Indeks!$F$2)/Indeks!H258*100</f>
        <v>8.2915639263495419E-2</v>
      </c>
      <c r="G258" s="108">
        <f>(Indeks!G258/Indeks!$G$40*Indeks!$G$2)/Indeks!H258*100</f>
        <v>2.3718805760758768E-2</v>
      </c>
      <c r="H258" s="108">
        <f t="shared" si="37"/>
        <v>0.99999999999999989</v>
      </c>
    </row>
    <row r="259" spans="1:8" x14ac:dyDescent="0.2">
      <c r="A259" s="21">
        <f t="shared" si="38"/>
        <v>2026</v>
      </c>
      <c r="B259" s="22" t="s">
        <v>10</v>
      </c>
      <c r="C259" s="110">
        <f>(Indeks!C259/Indeks!$C$40*Indeks!$C$2)/Indeks!H259*100</f>
        <v>0.6503736485038133</v>
      </c>
      <c r="D259" s="110">
        <f>(Indeks!D259/Indeks!$D$40*Indeks!$D$2)/Indeks!H259*100</f>
        <v>0.16592584175853189</v>
      </c>
      <c r="E259" s="110">
        <f>(Indeks!E259/Indeks!$E$40*Indeks!$E$2)/Indeks!H259*100</f>
        <v>7.7632723018228197E-2</v>
      </c>
      <c r="F259" s="110">
        <f>(Indeks!F259/Indeks!$F$40*Indeks!$F$2)/Indeks!H259*100</f>
        <v>8.2485987508613676E-2</v>
      </c>
      <c r="G259" s="110">
        <f>(Indeks!G259/Indeks!$G$40*Indeks!$G$2)/Indeks!H259*100</f>
        <v>2.3581799210812875E-2</v>
      </c>
      <c r="H259" s="110">
        <f t="shared" si="37"/>
        <v>0.99999999999999989</v>
      </c>
    </row>
    <row r="260" spans="1:8" x14ac:dyDescent="0.2">
      <c r="A260" s="12">
        <f t="shared" si="38"/>
        <v>2026</v>
      </c>
      <c r="B260" s="13" t="s">
        <v>11</v>
      </c>
      <c r="C260" s="108">
        <f>(Indeks!C260/Indeks!$C$40*Indeks!$C$2)/Indeks!H260*100</f>
        <v>0.65027798155653993</v>
      </c>
      <c r="D260" s="108">
        <f>(Indeks!D260/Indeks!$D$40*Indeks!$D$2)/Indeks!H260*100</f>
        <v>0.16590143483677036</v>
      </c>
      <c r="E260" s="108">
        <f>(Indeks!E260/Indeks!$E$40*Indeks!$E$2)/Indeks!H260*100</f>
        <v>7.7719084251009068E-2</v>
      </c>
      <c r="F260" s="108">
        <f>(Indeks!F260/Indeks!$F$40*Indeks!$F$2)/Indeks!H260*100</f>
        <v>8.2523168918159834E-2</v>
      </c>
      <c r="G260" s="108">
        <f>(Indeks!G260/Indeks!$G$40*Indeks!$G$2)/Indeks!H260*100</f>
        <v>2.3578330437520934E-2</v>
      </c>
      <c r="H260" s="108">
        <f t="shared" si="37"/>
        <v>1</v>
      </c>
    </row>
    <row r="261" spans="1:8" x14ac:dyDescent="0.2">
      <c r="A261" s="16">
        <f t="shared" si="38"/>
        <v>2026</v>
      </c>
      <c r="B261" s="17" t="s">
        <v>12</v>
      </c>
      <c r="C261" s="109">
        <f>(Indeks!C261/Indeks!$C$40*Indeks!$C$2)/Indeks!H261*100</f>
        <v>0.65018224350523435</v>
      </c>
      <c r="D261" s="109">
        <f>(Indeks!D261/Indeks!$D$40*Indeks!$D$2)/Indeks!H261*100</f>
        <v>0.16587700977467298</v>
      </c>
      <c r="E261" s="109">
        <f>(Indeks!E261/Indeks!$E$40*Indeks!$E$2)/Indeks!H261*100</f>
        <v>7.7805531362105815E-2</v>
      </c>
      <c r="F261" s="109">
        <f>(Indeks!F261/Indeks!$F$40*Indeks!$F$2)/Indeks!H261*100</f>
        <v>8.2560356271908192E-2</v>
      </c>
      <c r="G261" s="109">
        <f>(Indeks!G261/Indeks!$G$40*Indeks!$G$2)/Indeks!H261*100</f>
        <v>2.3574859086078703E-2</v>
      </c>
      <c r="H261" s="109">
        <f t="shared" si="37"/>
        <v>1</v>
      </c>
    </row>
    <row r="262" spans="1:8" x14ac:dyDescent="0.2">
      <c r="A262" s="21">
        <f t="shared" si="38"/>
        <v>2026</v>
      </c>
      <c r="B262" s="26" t="s">
        <v>30</v>
      </c>
      <c r="C262" s="110">
        <f>(Indeks!C262/Indeks!$C$40*Indeks!$C$2)/Indeks!H262*100</f>
        <v>0.65206132087661006</v>
      </c>
      <c r="D262" s="110">
        <f>(Indeks!D262/Indeks!$D$40*Indeks!$D$2)/Indeks!H262*100</f>
        <v>0.16491650681148484</v>
      </c>
      <c r="E262" s="110">
        <f>(Indeks!E262/Indeks!$E$40*Indeks!$E$2)/Indeks!H262*100</f>
        <v>7.7452447302984909E-2</v>
      </c>
      <c r="F262" s="110">
        <f>(Indeks!F262/Indeks!$F$40*Indeks!$F$2)/Indeks!H262*100</f>
        <v>8.2131375027024667E-2</v>
      </c>
      <c r="G262" s="110">
        <f>(Indeks!G262/Indeks!$G$40*Indeks!$G$2)/Indeks!H262*100</f>
        <v>2.3438349981895548E-2</v>
      </c>
      <c r="H262" s="110">
        <f t="shared" si="37"/>
        <v>1</v>
      </c>
    </row>
    <row r="263" spans="1:8" x14ac:dyDescent="0.2">
      <c r="A263" s="12">
        <f t="shared" si="38"/>
        <v>2026</v>
      </c>
      <c r="B263" s="13" t="s">
        <v>13</v>
      </c>
      <c r="C263" s="108">
        <f>(Indeks!C263/Indeks!$C$40*Indeks!$C$2)/Indeks!H263*100</f>
        <v>0.65196569193882792</v>
      </c>
      <c r="D263" s="108">
        <f>(Indeks!D263/Indeks!$D$40*Indeks!$D$2)/Indeks!H263*100</f>
        <v>0.16489232075740651</v>
      </c>
      <c r="E263" s="108">
        <f>(Indeks!E263/Indeks!$E$40*Indeks!$E$2)/Indeks!H263*100</f>
        <v>7.7538642035896915E-2</v>
      </c>
      <c r="F263" s="108">
        <f>(Indeks!F263/Indeks!$F$40*Indeks!$F$2)/Indeks!H263*100</f>
        <v>8.216843266899275E-2</v>
      </c>
      <c r="G263" s="108">
        <f>(Indeks!G263/Indeks!$G$40*Indeks!$G$2)/Indeks!H263*100</f>
        <v>2.3434912598875923E-2</v>
      </c>
      <c r="H263" s="108">
        <f t="shared" si="37"/>
        <v>1</v>
      </c>
    </row>
    <row r="264" spans="1:8" x14ac:dyDescent="0.2">
      <c r="A264" s="63">
        <f t="shared" si="38"/>
        <v>2026</v>
      </c>
      <c r="B264" s="64" t="s">
        <v>14</v>
      </c>
      <c r="C264" s="111">
        <f>(Indeks!C264/Indeks!$C$40*Indeks!$C$2)/Indeks!H264*100</f>
        <v>0.65186999181324246</v>
      </c>
      <c r="D264" s="111">
        <f>(Indeks!D264/Indeks!$D$40*Indeks!$D$2)/Indeks!H264*100</f>
        <v>0.16486811669881926</v>
      </c>
      <c r="E264" s="111">
        <f>(Indeks!E264/Indeks!$E$40*Indeks!$E$2)/Indeks!H264*100</f>
        <v>7.7624922545471042E-2</v>
      </c>
      <c r="F264" s="111">
        <f>(Indeks!F264/Indeks!$F$40*Indeks!$F$2)/Indeks!H264*100</f>
        <v>8.2205496285457189E-2</v>
      </c>
      <c r="G264" s="111">
        <f>(Indeks!G264/Indeks!$G$40*Indeks!$G$2)/Indeks!H264*100</f>
        <v>2.3431472657010073E-2</v>
      </c>
      <c r="H264" s="111">
        <f t="shared" si="37"/>
        <v>1</v>
      </c>
    </row>
    <row r="265" spans="1:8" x14ac:dyDescent="0.2">
      <c r="A265" s="32">
        <f t="shared" si="38"/>
        <v>2026</v>
      </c>
      <c r="B265" s="67" t="s">
        <v>15</v>
      </c>
      <c r="C265" s="112">
        <f>(Indeks!C265/Indeks!$C$40*Indeks!$C$2)/Indeks!H265*100</f>
        <v>0.65374465497772061</v>
      </c>
      <c r="D265" s="112">
        <f>(Indeks!D265/Indeks!$D$40*Indeks!$D$2)/Indeks!H265*100</f>
        <v>0.16391112594957308</v>
      </c>
      <c r="E265" s="112">
        <f>(Indeks!E265/Indeks!$E$40*Indeks!$E$2)/Indeks!H265*100</f>
        <v>7.7271559803887044E-2</v>
      </c>
      <c r="F265" s="112">
        <f>(Indeks!F265/Indeks!$F$40*Indeks!$F$2)/Indeks!H265*100</f>
        <v>8.177719655128679E-2</v>
      </c>
      <c r="G265" s="112">
        <f>(Indeks!G265/Indeks!$G$40*Indeks!$G$2)/Indeks!H265*100</f>
        <v>2.3295462717532592E-2</v>
      </c>
      <c r="H265" s="112">
        <f t="shared" si="37"/>
        <v>1.0000000000000002</v>
      </c>
    </row>
    <row r="266" spans="1:8" x14ac:dyDescent="0.2">
      <c r="A266" s="32">
        <f t="shared" si="38"/>
        <v>2026</v>
      </c>
      <c r="B266" s="67" t="s">
        <v>16</v>
      </c>
      <c r="C266" s="112">
        <f>(Indeks!C266/Indeks!$C$40*Indeks!$C$2)/Indeks!H266*100</f>
        <v>0.65364906649987753</v>
      </c>
      <c r="D266" s="112">
        <f>(Indeks!D266/Indeks!$D$40*Indeks!$D$2)/Indeks!H266*100</f>
        <v>0.1638871593826394</v>
      </c>
      <c r="E266" s="112">
        <f>(Indeks!E266/Indeks!$E$40*Indeks!$E$2)/Indeks!H266*100</f>
        <v>7.7357587236906528E-2</v>
      </c>
      <c r="F266" s="112">
        <f>(Indeks!F266/Indeks!$F$40*Indeks!$F$2)/Indeks!H266*100</f>
        <v>8.1814130351996778E-2</v>
      </c>
      <c r="G266" s="112">
        <f>(Indeks!G266/Indeks!$G$40*Indeks!$G$2)/Indeks!H266*100</f>
        <v>2.3292056528579665E-2</v>
      </c>
      <c r="H266" s="112">
        <f t="shared" si="37"/>
        <v>1</v>
      </c>
    </row>
    <row r="267" spans="1:8" x14ac:dyDescent="0.2">
      <c r="A267" s="32">
        <f t="shared" si="38"/>
        <v>2026</v>
      </c>
      <c r="B267" s="33" t="s">
        <v>17</v>
      </c>
      <c r="C267" s="108">
        <f>(Indeks!C267/Indeks!$C$40*Indeks!$C$2)/Indeks!H267*100</f>
        <v>0.65355340675229634</v>
      </c>
      <c r="D267" s="108">
        <f>(Indeks!D267/Indeks!$D$40*Indeks!$D$2)/Indeks!H267*100</f>
        <v>0.16386317494649189</v>
      </c>
      <c r="E267" s="108">
        <f>(Indeks!E267/Indeks!$E$40*Indeks!$E$2)/Indeks!H267*100</f>
        <v>7.7443700344000416E-2</v>
      </c>
      <c r="F267" s="108">
        <f>(Indeks!F267/Indeks!$F$40*Indeks!$F$2)/Indeks!H267*100</f>
        <v>8.1851070157202416E-2</v>
      </c>
      <c r="G267" s="108">
        <f>(Indeks!G267/Indeks!$G$40*Indeks!$G$2)/Indeks!H267*100</f>
        <v>2.3288647800008996E-2</v>
      </c>
      <c r="H267" s="108">
        <f t="shared" si="37"/>
        <v>0.99999999999999989</v>
      </c>
    </row>
  </sheetData>
  <phoneticPr fontId="4" type="noConversion"/>
  <pageMargins left="0.74803149606299213" right="0.74803149606299213" top="0.98425196850393704" bottom="0.98425196850393704" header="0" footer="0"/>
  <pageSetup paperSize="9"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B30A2-A100-4507-8BFA-A8ED036C8EE1}">
  <dimension ref="A1:I266"/>
  <sheetViews>
    <sheetView topLeftCell="A226" zoomScale="130" zoomScaleNormal="130" workbookViewId="0">
      <selection activeCell="C251" sqref="C251:C252"/>
    </sheetView>
  </sheetViews>
  <sheetFormatPr defaultRowHeight="12.75" x14ac:dyDescent="0.2"/>
  <cols>
    <col min="1" max="1" width="5.5703125" customWidth="1"/>
    <col min="2" max="2" width="10" bestFit="1" customWidth="1"/>
    <col min="3" max="3" width="9.140625" bestFit="1" customWidth="1"/>
    <col min="4" max="4" width="11.140625" bestFit="1" customWidth="1"/>
    <col min="5" max="5" width="11.42578125" bestFit="1" customWidth="1"/>
    <col min="6" max="6" width="10.85546875" bestFit="1" customWidth="1"/>
    <col min="7" max="7" width="11.140625" customWidth="1"/>
    <col min="8" max="8" width="11.85546875" bestFit="1" customWidth="1"/>
    <col min="9" max="9" width="10.42578125" style="48" customWidth="1"/>
  </cols>
  <sheetData>
    <row r="1" spans="1:9" ht="18" customHeight="1" x14ac:dyDescent="0.3">
      <c r="A1" s="31" t="s">
        <v>35</v>
      </c>
      <c r="C1" s="2"/>
      <c r="H1" s="100" t="s">
        <v>31</v>
      </c>
    </row>
    <row r="2" spans="1:9" ht="15" customHeight="1" thickBot="1" x14ac:dyDescent="0.3">
      <c r="A2" s="30" t="s">
        <v>1</v>
      </c>
      <c r="B2" s="30" t="s">
        <v>2</v>
      </c>
      <c r="C2" s="30" t="s">
        <v>0</v>
      </c>
      <c r="D2" s="30" t="s">
        <v>19</v>
      </c>
      <c r="E2" s="30" t="s">
        <v>33</v>
      </c>
      <c r="F2" s="30" t="s">
        <v>36</v>
      </c>
      <c r="G2" s="30" t="s">
        <v>34</v>
      </c>
      <c r="H2" s="30" t="s">
        <v>44</v>
      </c>
      <c r="I2" s="29"/>
    </row>
    <row r="3" spans="1:9" ht="13.5" hidden="1" customHeight="1" x14ac:dyDescent="0.2">
      <c r="A3" s="8">
        <v>2005</v>
      </c>
      <c r="B3" s="13" t="s">
        <v>7</v>
      </c>
      <c r="C3" s="121" t="s">
        <v>18</v>
      </c>
      <c r="D3" s="119" t="s">
        <v>18</v>
      </c>
      <c r="E3" s="119"/>
      <c r="F3" s="119"/>
      <c r="G3" s="119"/>
      <c r="H3" s="176"/>
      <c r="I3" s="94"/>
    </row>
    <row r="4" spans="1:9" ht="13.5" hidden="1" customHeight="1" x14ac:dyDescent="0.2">
      <c r="A4" s="12">
        <f>A3</f>
        <v>2005</v>
      </c>
      <c r="B4" s="13" t="s">
        <v>8</v>
      </c>
      <c r="C4" s="121" t="s">
        <v>18</v>
      </c>
      <c r="D4" s="131" t="s">
        <v>18</v>
      </c>
      <c r="E4" s="131"/>
      <c r="F4" s="131"/>
      <c r="G4" s="131"/>
      <c r="H4" s="176"/>
      <c r="I4" s="113"/>
    </row>
    <row r="5" spans="1:9" ht="13.5" hidden="1" customHeight="1" x14ac:dyDescent="0.2">
      <c r="A5" s="16">
        <f t="shared" ref="A5:A14" si="0">A4</f>
        <v>2005</v>
      </c>
      <c r="B5" s="17" t="s">
        <v>9</v>
      </c>
      <c r="C5" s="122" t="s">
        <v>18</v>
      </c>
      <c r="D5" s="132" t="s">
        <v>18</v>
      </c>
      <c r="E5" s="132" t="s">
        <v>18</v>
      </c>
      <c r="F5" s="132"/>
      <c r="G5" s="132"/>
      <c r="H5" s="176"/>
      <c r="I5" s="113"/>
    </row>
    <row r="6" spans="1:9" ht="13.5" hidden="1" customHeight="1" x14ac:dyDescent="0.2">
      <c r="A6" s="21">
        <f t="shared" si="0"/>
        <v>2005</v>
      </c>
      <c r="B6" s="22" t="s">
        <v>10</v>
      </c>
      <c r="C6" s="123" t="s">
        <v>18</v>
      </c>
      <c r="D6" s="133" t="s">
        <v>18</v>
      </c>
      <c r="E6" s="133"/>
      <c r="F6" s="133"/>
      <c r="G6" s="133"/>
      <c r="H6" s="176"/>
      <c r="I6" s="113"/>
    </row>
    <row r="7" spans="1:9" ht="13.5" hidden="1" customHeight="1" x14ac:dyDescent="0.2">
      <c r="A7" s="12">
        <f t="shared" si="0"/>
        <v>2005</v>
      </c>
      <c r="B7" s="13" t="s">
        <v>11</v>
      </c>
      <c r="C7" s="121" t="s">
        <v>18</v>
      </c>
      <c r="D7" s="131" t="s">
        <v>18</v>
      </c>
      <c r="E7" s="131"/>
      <c r="F7" s="131"/>
      <c r="G7" s="131"/>
      <c r="H7" s="176"/>
      <c r="I7" s="113"/>
    </row>
    <row r="8" spans="1:9" ht="13.5" hidden="1" customHeight="1" x14ac:dyDescent="0.2">
      <c r="A8" s="16">
        <f t="shared" si="0"/>
        <v>2005</v>
      </c>
      <c r="B8" s="17" t="s">
        <v>12</v>
      </c>
      <c r="C8" s="122" t="s">
        <v>18</v>
      </c>
      <c r="D8" s="132" t="s">
        <v>18</v>
      </c>
      <c r="E8" s="132" t="s">
        <v>18</v>
      </c>
      <c r="F8" s="132" t="s">
        <v>18</v>
      </c>
      <c r="G8" s="132"/>
      <c r="H8" s="176"/>
      <c r="I8" s="113"/>
    </row>
    <row r="9" spans="1:9" ht="13.5" hidden="1" customHeight="1" x14ac:dyDescent="0.2">
      <c r="A9" s="21">
        <f t="shared" si="0"/>
        <v>2005</v>
      </c>
      <c r="B9" s="26" t="s">
        <v>30</v>
      </c>
      <c r="C9" s="23">
        <f>Indeks!H10</f>
        <v>90.292328719285351</v>
      </c>
      <c r="D9" s="133" t="str">
        <f>"-"</f>
        <v>-</v>
      </c>
      <c r="E9" s="133"/>
      <c r="F9" s="133"/>
      <c r="G9" s="133"/>
      <c r="H9" s="176"/>
      <c r="I9" s="113"/>
    </row>
    <row r="10" spans="1:9" ht="13.5" hidden="1" customHeight="1" x14ac:dyDescent="0.2">
      <c r="A10" s="12">
        <f t="shared" si="0"/>
        <v>2005</v>
      </c>
      <c r="B10" s="13" t="s">
        <v>13</v>
      </c>
      <c r="C10" s="14">
        <f>Indeks!H11</f>
        <v>90.92752527499178</v>
      </c>
      <c r="D10" s="83">
        <f t="shared" ref="D10:D68" si="1">(C10-C9)/C9</f>
        <v>7.034889505189588E-3</v>
      </c>
      <c r="E10" s="131"/>
      <c r="F10" s="131"/>
      <c r="G10" s="131"/>
      <c r="H10" s="176"/>
      <c r="I10" s="113"/>
    </row>
    <row r="11" spans="1:9" ht="13.5" hidden="1" customHeight="1" x14ac:dyDescent="0.2">
      <c r="A11" s="16">
        <f t="shared" si="0"/>
        <v>2005</v>
      </c>
      <c r="B11" s="17" t="s">
        <v>14</v>
      </c>
      <c r="C11" s="18">
        <f>Indeks!H12</f>
        <v>91.414653079921692</v>
      </c>
      <c r="D11" s="84">
        <f t="shared" si="1"/>
        <v>5.3573195075604808E-3</v>
      </c>
      <c r="E11" s="132" t="s">
        <v>18</v>
      </c>
      <c r="F11" s="132"/>
      <c r="G11" s="132"/>
      <c r="H11" s="176"/>
      <c r="I11" s="113"/>
    </row>
    <row r="12" spans="1:9" ht="13.5" hidden="1" customHeight="1" x14ac:dyDescent="0.2">
      <c r="A12" s="12">
        <f t="shared" si="0"/>
        <v>2005</v>
      </c>
      <c r="B12" s="13" t="s">
        <v>15</v>
      </c>
      <c r="C12" s="14">
        <f>Indeks!H13</f>
        <v>91.640641159377168</v>
      </c>
      <c r="D12" s="83">
        <f t="shared" si="1"/>
        <v>2.4721209548090716E-3</v>
      </c>
      <c r="E12" s="131"/>
      <c r="F12" s="131"/>
      <c r="G12" s="131"/>
      <c r="H12" s="176"/>
      <c r="I12" s="113"/>
    </row>
    <row r="13" spans="1:9" ht="13.5" hidden="1" customHeight="1" x14ac:dyDescent="0.2">
      <c r="A13" s="12">
        <f t="shared" si="0"/>
        <v>2005</v>
      </c>
      <c r="B13" s="13" t="s">
        <v>16</v>
      </c>
      <c r="C13" s="14">
        <f>Indeks!H14</f>
        <v>92.197079298895403</v>
      </c>
      <c r="D13" s="83">
        <f t="shared" si="1"/>
        <v>6.0719581670156987E-3</v>
      </c>
      <c r="E13" s="131"/>
      <c r="F13" s="131"/>
      <c r="G13" s="131"/>
      <c r="H13" s="176"/>
      <c r="I13" s="113"/>
    </row>
    <row r="14" spans="1:9" ht="13.5" hidden="1" customHeight="1" thickBot="1" x14ac:dyDescent="0.25">
      <c r="A14" s="38">
        <f t="shared" si="0"/>
        <v>2005</v>
      </c>
      <c r="B14" s="39" t="s">
        <v>17</v>
      </c>
      <c r="C14" s="40">
        <f>Indeks!H15</f>
        <v>92.986932917933089</v>
      </c>
      <c r="D14" s="89">
        <f t="shared" si="1"/>
        <v>8.5670134568693324E-3</v>
      </c>
      <c r="E14" s="89">
        <f>(SUM(C12:C14)-SUM(C9:C11))/SUM(C9:C11)</f>
        <v>1.5369097430012659E-2</v>
      </c>
      <c r="F14" s="134" t="str">
        <f>"-"</f>
        <v>-</v>
      </c>
      <c r="G14" s="134" t="str">
        <f>"-"</f>
        <v>-</v>
      </c>
      <c r="H14" s="176"/>
      <c r="I14" s="113"/>
    </row>
    <row r="15" spans="1:9" ht="13.5" hidden="1" customHeight="1" x14ac:dyDescent="0.2">
      <c r="A15" s="8">
        <v>2006</v>
      </c>
      <c r="B15" s="13" t="s">
        <v>7</v>
      </c>
      <c r="C15" s="14">
        <f>Indeks!H16</f>
        <v>92.668805416705865</v>
      </c>
      <c r="D15" s="83">
        <f t="shared" si="1"/>
        <v>-3.4212065205763012E-3</v>
      </c>
      <c r="E15" s="83"/>
      <c r="F15" s="83"/>
      <c r="G15" s="83"/>
      <c r="H15" s="176"/>
      <c r="I15" s="113"/>
    </row>
    <row r="16" spans="1:9" ht="13.5" hidden="1" customHeight="1" x14ac:dyDescent="0.2">
      <c r="A16" s="12">
        <f>A15</f>
        <v>2006</v>
      </c>
      <c r="B16" s="13" t="s">
        <v>8</v>
      </c>
      <c r="C16" s="14">
        <f>Indeks!H17</f>
        <v>92.388858566310347</v>
      </c>
      <c r="D16" s="83">
        <f t="shared" si="1"/>
        <v>-3.0209394535375207E-3</v>
      </c>
      <c r="E16" s="83"/>
      <c r="F16" s="83"/>
      <c r="G16" s="83"/>
      <c r="H16" s="176"/>
      <c r="I16" s="113"/>
    </row>
    <row r="17" spans="1:9" ht="13.5" hidden="1" customHeight="1" x14ac:dyDescent="0.2">
      <c r="A17" s="16">
        <f t="shared" ref="A17:A26" si="2">A16</f>
        <v>2006</v>
      </c>
      <c r="B17" s="17" t="s">
        <v>9</v>
      </c>
      <c r="C17" s="18">
        <f>Indeks!H18</f>
        <v>92.542432970583306</v>
      </c>
      <c r="D17" s="84">
        <f t="shared" si="1"/>
        <v>1.6622610848983903E-3</v>
      </c>
      <c r="E17" s="84">
        <f>(SUM(C15:C17)-SUM(C12:C14))/SUM(C12:C14)</f>
        <v>2.8012085193149811E-3</v>
      </c>
      <c r="F17" s="84"/>
      <c r="G17" s="84"/>
      <c r="H17" s="176"/>
      <c r="I17" s="113"/>
    </row>
    <row r="18" spans="1:9" ht="13.5" hidden="1" customHeight="1" x14ac:dyDescent="0.2">
      <c r="A18" s="21">
        <f t="shared" si="2"/>
        <v>2006</v>
      </c>
      <c r="B18" s="22" t="s">
        <v>10</v>
      </c>
      <c r="C18" s="14">
        <f>Indeks!H19</f>
        <v>93.137418618440705</v>
      </c>
      <c r="D18" s="83">
        <f t="shared" si="1"/>
        <v>6.4293279175675951E-3</v>
      </c>
      <c r="E18" s="83"/>
      <c r="F18" s="83"/>
      <c r="G18" s="85"/>
      <c r="H18" s="176"/>
      <c r="I18" s="113"/>
    </row>
    <row r="19" spans="1:9" ht="13.5" hidden="1" customHeight="1" x14ac:dyDescent="0.2">
      <c r="A19" s="12">
        <f t="shared" si="2"/>
        <v>2006</v>
      </c>
      <c r="B19" s="13" t="s">
        <v>11</v>
      </c>
      <c r="C19" s="14">
        <f>Indeks!H20</f>
        <v>93.591958180466236</v>
      </c>
      <c r="D19" s="83">
        <f t="shared" si="1"/>
        <v>4.880310929462825E-3</v>
      </c>
      <c r="E19" s="83"/>
      <c r="F19" s="83"/>
      <c r="G19" s="83"/>
      <c r="H19" s="176"/>
      <c r="I19" s="113"/>
    </row>
    <row r="20" spans="1:9" ht="13.5" hidden="1" customHeight="1" x14ac:dyDescent="0.2">
      <c r="A20" s="16">
        <f t="shared" si="2"/>
        <v>2006</v>
      </c>
      <c r="B20" s="17" t="s">
        <v>12</v>
      </c>
      <c r="C20" s="18">
        <f>Indeks!H21</f>
        <v>93.947510099286887</v>
      </c>
      <c r="D20" s="84">
        <f t="shared" si="1"/>
        <v>3.7989580059332459E-3</v>
      </c>
      <c r="E20" s="84">
        <f>(SUM(C18:C20)-SUM(C15:C17))/SUM(C15:C17)</f>
        <v>1.1083533393392941E-2</v>
      </c>
      <c r="F20" s="84">
        <f>(SUM(C15:C20)-SUM(C9:C14))/SUM(C9:C14)</f>
        <v>1.6048187083023038E-2</v>
      </c>
      <c r="G20" s="84"/>
      <c r="H20" s="176"/>
      <c r="I20" s="113"/>
    </row>
    <row r="21" spans="1:9" ht="13.5" hidden="1" customHeight="1" x14ac:dyDescent="0.2">
      <c r="A21" s="21">
        <f t="shared" si="2"/>
        <v>2006</v>
      </c>
      <c r="B21" s="26" t="s">
        <v>30</v>
      </c>
      <c r="C21" s="14">
        <f>Indeks!H22</f>
        <v>94.469743503759759</v>
      </c>
      <c r="D21" s="83">
        <f t="shared" si="1"/>
        <v>5.5587785553971288E-3</v>
      </c>
      <c r="E21" s="83"/>
      <c r="F21" s="83"/>
      <c r="G21" s="85"/>
      <c r="H21" s="176"/>
      <c r="I21" s="113"/>
    </row>
    <row r="22" spans="1:9" ht="13.5" hidden="1" customHeight="1" x14ac:dyDescent="0.2">
      <c r="A22" s="12">
        <f t="shared" si="2"/>
        <v>2006</v>
      </c>
      <c r="B22" s="13" t="s">
        <v>13</v>
      </c>
      <c r="C22" s="14">
        <f>Indeks!H23</f>
        <v>94.554737143960054</v>
      </c>
      <c r="D22" s="83">
        <f t="shared" si="1"/>
        <v>8.9969165838703368E-4</v>
      </c>
      <c r="E22" s="83"/>
      <c r="F22" s="83"/>
      <c r="G22" s="83"/>
      <c r="H22" s="176"/>
      <c r="I22" s="113"/>
    </row>
    <row r="23" spans="1:9" ht="13.5" hidden="1" customHeight="1" x14ac:dyDescent="0.2">
      <c r="A23" s="16">
        <f t="shared" si="2"/>
        <v>2006</v>
      </c>
      <c r="B23" s="17" t="s">
        <v>14</v>
      </c>
      <c r="C23" s="18">
        <f>Indeks!H24</f>
        <v>94.606014083732617</v>
      </c>
      <c r="D23" s="84">
        <f t="shared" si="1"/>
        <v>5.4229900395676666E-4</v>
      </c>
      <c r="E23" s="84">
        <f>(SUM(C21:C23)-SUM(C18:C20))/SUM(C18:C20)</f>
        <v>1.0523160157216429E-2</v>
      </c>
      <c r="F23" s="84"/>
      <c r="G23" s="84"/>
      <c r="H23" s="176"/>
      <c r="I23" s="113"/>
    </row>
    <row r="24" spans="1:9" ht="13.5" hidden="1" customHeight="1" x14ac:dyDescent="0.2">
      <c r="A24" s="21">
        <f t="shared" si="2"/>
        <v>2006</v>
      </c>
      <c r="B24" s="22" t="s">
        <v>15</v>
      </c>
      <c r="C24" s="23">
        <f>Indeks!H25</f>
        <v>95.347584194028585</v>
      </c>
      <c r="D24" s="85">
        <f t="shared" si="1"/>
        <v>7.8385091844121926E-3</v>
      </c>
      <c r="E24" s="85"/>
      <c r="F24" s="85"/>
      <c r="G24" s="85"/>
      <c r="H24" s="176"/>
      <c r="I24" s="113"/>
    </row>
    <row r="25" spans="1:9" ht="13.5" hidden="1" customHeight="1" x14ac:dyDescent="0.2">
      <c r="A25" s="12">
        <f t="shared" si="2"/>
        <v>2006</v>
      </c>
      <c r="B25" s="13" t="s">
        <v>16</v>
      </c>
      <c r="C25" s="14">
        <f>Indeks!H26</f>
        <v>94.670874120393549</v>
      </c>
      <c r="D25" s="83">
        <f t="shared" si="1"/>
        <v>-7.0972964795621603E-3</v>
      </c>
      <c r="E25" s="83"/>
      <c r="F25" s="83"/>
      <c r="G25" s="83"/>
      <c r="H25" s="176"/>
      <c r="I25" s="113"/>
    </row>
    <row r="26" spans="1:9" ht="13.5" hidden="1" customHeight="1" thickBot="1" x14ac:dyDescent="0.25">
      <c r="A26" s="38">
        <f t="shared" si="2"/>
        <v>2006</v>
      </c>
      <c r="B26" s="39" t="s">
        <v>17</v>
      </c>
      <c r="C26" s="40">
        <f>Indeks!H27</f>
        <v>94.388387509788657</v>
      </c>
      <c r="D26" s="89">
        <f t="shared" si="1"/>
        <v>-2.9838808739174791E-3</v>
      </c>
      <c r="E26" s="89">
        <f>(SUM(C24:C26)-SUM(C21:C23))/SUM(C21:C23)</f>
        <v>2.7371918999520291E-3</v>
      </c>
      <c r="F26" s="89">
        <f>(SUM(C21:C26)-SUM(C15:C20))/SUM(C15:C20)</f>
        <v>1.7483000349627499E-2</v>
      </c>
      <c r="G26" s="134" t="str">
        <f>"-"</f>
        <v>-</v>
      </c>
      <c r="H26" s="176"/>
      <c r="I26" s="113"/>
    </row>
    <row r="27" spans="1:9" ht="13.5" hidden="1" customHeight="1" x14ac:dyDescent="0.2">
      <c r="A27" s="8">
        <v>2007</v>
      </c>
      <c r="B27" s="13" t="s">
        <v>7</v>
      </c>
      <c r="C27" s="14">
        <f>Indeks!H28</f>
        <v>94.648420509917301</v>
      </c>
      <c r="D27" s="83">
        <f t="shared" si="1"/>
        <v>2.7549257592908525E-3</v>
      </c>
      <c r="E27" s="83"/>
      <c r="F27" s="83"/>
      <c r="G27" s="83"/>
      <c r="H27" s="176"/>
      <c r="I27" s="113"/>
    </row>
    <row r="28" spans="1:9" ht="13.5" hidden="1" customHeight="1" x14ac:dyDescent="0.2">
      <c r="A28" s="12">
        <f>A27</f>
        <v>2007</v>
      </c>
      <c r="B28" s="13" t="s">
        <v>8</v>
      </c>
      <c r="C28" s="14">
        <f>Indeks!H29</f>
        <v>94.690506249993803</v>
      </c>
      <c r="D28" s="83">
        <f t="shared" si="1"/>
        <v>4.4465337984263357E-4</v>
      </c>
      <c r="E28" s="83"/>
      <c r="F28" s="83"/>
      <c r="G28" s="83"/>
      <c r="H28" s="176"/>
      <c r="I28" s="113"/>
    </row>
    <row r="29" spans="1:9" ht="13.5" hidden="1" customHeight="1" x14ac:dyDescent="0.2">
      <c r="A29" s="16">
        <f t="shared" ref="A29:A38" si="3">A28</f>
        <v>2007</v>
      </c>
      <c r="B29" s="17" t="s">
        <v>9</v>
      </c>
      <c r="C29" s="18">
        <f>Indeks!H30</f>
        <v>94.256195507008883</v>
      </c>
      <c r="D29" s="84">
        <f t="shared" si="1"/>
        <v>-4.5866345020723577E-3</v>
      </c>
      <c r="E29" s="84">
        <f>(SUM(C27:C29)-SUM(C24:C26))/SUM(C24:C26)</f>
        <v>-2.8540928926602672E-3</v>
      </c>
      <c r="F29" s="84"/>
      <c r="G29" s="84"/>
      <c r="H29" s="176"/>
      <c r="I29" s="113"/>
    </row>
    <row r="30" spans="1:9" ht="13.5" hidden="1" customHeight="1" x14ac:dyDescent="0.2">
      <c r="A30" s="21">
        <f t="shared" si="3"/>
        <v>2007</v>
      </c>
      <c r="B30" s="22" t="s">
        <v>10</v>
      </c>
      <c r="C30" s="23">
        <f>Indeks!H31</f>
        <v>95.288944097184881</v>
      </c>
      <c r="D30" s="85">
        <f t="shared" si="1"/>
        <v>1.095682447844188E-2</v>
      </c>
      <c r="E30" s="83"/>
      <c r="F30" s="83"/>
      <c r="G30" s="85"/>
      <c r="H30" s="176"/>
      <c r="I30" s="113"/>
    </row>
    <row r="31" spans="1:9" ht="13.5" hidden="1" customHeight="1" x14ac:dyDescent="0.2">
      <c r="A31" s="12">
        <f t="shared" si="3"/>
        <v>2007</v>
      </c>
      <c r="B31" s="13" t="s">
        <v>11</v>
      </c>
      <c r="C31" s="14">
        <f>Indeks!H32</f>
        <v>95.46513183110342</v>
      </c>
      <c r="D31" s="83">
        <f t="shared" si="1"/>
        <v>1.848984009507395E-3</v>
      </c>
      <c r="E31" s="83"/>
      <c r="F31" s="83"/>
      <c r="G31" s="83"/>
      <c r="H31" s="176"/>
      <c r="I31" s="113"/>
    </row>
    <row r="32" spans="1:9" ht="13.5" hidden="1" customHeight="1" x14ac:dyDescent="0.2">
      <c r="A32" s="16">
        <f t="shared" si="3"/>
        <v>2007</v>
      </c>
      <c r="B32" s="17" t="s">
        <v>12</v>
      </c>
      <c r="C32" s="18">
        <f>Indeks!H33</f>
        <v>95.825002310907621</v>
      </c>
      <c r="D32" s="84">
        <f t="shared" si="1"/>
        <v>3.7696536201393648E-3</v>
      </c>
      <c r="E32" s="84">
        <f>(SUM(C30:C32)-SUM(C27:C29))/SUM(C27:C29)</f>
        <v>1.0521887500827545E-2</v>
      </c>
      <c r="F32" s="84">
        <f>(SUM(C27:C32)-SUM(C21:C26))/SUM(C21:C26)</f>
        <v>3.7618300732876232E-3</v>
      </c>
      <c r="G32" s="84"/>
      <c r="H32" s="176"/>
      <c r="I32" s="113"/>
    </row>
    <row r="33" spans="1:9" ht="13.5" hidden="1" customHeight="1" x14ac:dyDescent="0.2">
      <c r="A33" s="21">
        <f t="shared" si="3"/>
        <v>2007</v>
      </c>
      <c r="B33" s="26" t="s">
        <v>30</v>
      </c>
      <c r="C33" s="23">
        <f>Indeks!H34</f>
        <v>96.5635045311178</v>
      </c>
      <c r="D33" s="85">
        <f t="shared" si="1"/>
        <v>7.7067800928830952E-3</v>
      </c>
      <c r="E33" s="85"/>
      <c r="F33" s="85"/>
      <c r="G33" s="85"/>
      <c r="H33" s="176"/>
      <c r="I33" s="113"/>
    </row>
    <row r="34" spans="1:9" ht="13.5" hidden="1" customHeight="1" x14ac:dyDescent="0.2">
      <c r="A34" s="12">
        <f t="shared" si="3"/>
        <v>2007</v>
      </c>
      <c r="B34" s="13" t="s">
        <v>13</v>
      </c>
      <c r="C34" s="14">
        <f>Indeks!H35</f>
        <v>97.06601208645553</v>
      </c>
      <c r="D34" s="83">
        <f t="shared" si="1"/>
        <v>5.2039076023363984E-3</v>
      </c>
      <c r="E34" s="83"/>
      <c r="F34" s="83"/>
      <c r="G34" s="83"/>
      <c r="H34" s="176"/>
      <c r="I34" s="113"/>
    </row>
    <row r="35" spans="1:9" ht="13.5" hidden="1" customHeight="1" x14ac:dyDescent="0.2">
      <c r="A35" s="16">
        <f t="shared" si="3"/>
        <v>2007</v>
      </c>
      <c r="B35" s="17" t="s">
        <v>14</v>
      </c>
      <c r="C35" s="18">
        <f>Indeks!H36</f>
        <v>97.048451031158621</v>
      </c>
      <c r="D35" s="84">
        <f t="shared" si="1"/>
        <v>-1.8091868533001612E-4</v>
      </c>
      <c r="E35" s="84">
        <f>(SUM(C33:C35)-SUM(C30:C32))/SUM(C30:C32)</f>
        <v>1.4302821527379038E-2</v>
      </c>
      <c r="F35" s="84"/>
      <c r="G35" s="84"/>
      <c r="H35" s="176"/>
      <c r="I35" s="113"/>
    </row>
    <row r="36" spans="1:9" ht="13.5" hidden="1" customHeight="1" x14ac:dyDescent="0.2">
      <c r="A36" s="21">
        <f t="shared" si="3"/>
        <v>2007</v>
      </c>
      <c r="B36" s="22" t="s">
        <v>15</v>
      </c>
      <c r="C36" s="23">
        <f>Indeks!H37</f>
        <v>97.596384573721011</v>
      </c>
      <c r="D36" s="85">
        <f t="shared" si="1"/>
        <v>5.6459792685044424E-3</v>
      </c>
      <c r="E36" s="85"/>
      <c r="F36" s="85"/>
      <c r="G36" s="85"/>
      <c r="H36" s="176"/>
      <c r="I36" s="113"/>
    </row>
    <row r="37" spans="1:9" ht="13.5" hidden="1" customHeight="1" x14ac:dyDescent="0.2">
      <c r="A37" s="12">
        <f t="shared" si="3"/>
        <v>2007</v>
      </c>
      <c r="B37" s="13" t="s">
        <v>16</v>
      </c>
      <c r="C37" s="14">
        <f>Indeks!H38</f>
        <v>97.984528819412418</v>
      </c>
      <c r="D37" s="83">
        <f t="shared" si="1"/>
        <v>3.9770350857435324E-3</v>
      </c>
      <c r="E37" s="83"/>
      <c r="F37" s="83"/>
      <c r="G37" s="83"/>
      <c r="H37" s="176"/>
      <c r="I37" s="113"/>
    </row>
    <row r="38" spans="1:9" ht="13.5" hidden="1" customHeight="1" thickBot="1" x14ac:dyDescent="0.25">
      <c r="A38" s="38">
        <f t="shared" si="3"/>
        <v>2007</v>
      </c>
      <c r="B38" s="39" t="s">
        <v>17</v>
      </c>
      <c r="C38" s="40">
        <f>Indeks!H39</f>
        <v>98.086972839842176</v>
      </c>
      <c r="D38" s="89">
        <f t="shared" si="1"/>
        <v>1.0455122014064503E-3</v>
      </c>
      <c r="E38" s="89">
        <f>(SUM(C36:C38)-SUM(C33:C35))/SUM(C33:C35)</f>
        <v>1.0286017232158402E-2</v>
      </c>
      <c r="F38" s="89">
        <f>(SUM(C33:C38)-SUM(C27:C32))/SUM(C27:C32)</f>
        <v>2.4854953736966955E-2</v>
      </c>
      <c r="G38" s="89">
        <f>(SUM(C27:C38)-SUM(C15:C26))/SUM(C15:C26)</f>
        <v>2.5042503117596294E-2</v>
      </c>
      <c r="H38" s="176"/>
      <c r="I38" s="113"/>
    </row>
    <row r="39" spans="1:9" ht="13.5" hidden="1" customHeight="1" x14ac:dyDescent="0.25">
      <c r="A39" s="8">
        <v>2008</v>
      </c>
      <c r="B39" s="8" t="s">
        <v>7</v>
      </c>
      <c r="C39" s="9">
        <f>Indeks!H40</f>
        <v>100</v>
      </c>
      <c r="D39" s="58">
        <f t="shared" si="1"/>
        <v>1.9503376490998887E-2</v>
      </c>
      <c r="E39" s="90"/>
      <c r="F39" s="90"/>
      <c r="G39" s="90"/>
      <c r="H39" s="176"/>
      <c r="I39" s="114"/>
    </row>
    <row r="40" spans="1:9" ht="13.5" hidden="1" customHeight="1" x14ac:dyDescent="0.2">
      <c r="A40" s="12">
        <f>A39</f>
        <v>2008</v>
      </c>
      <c r="B40" s="13" t="s">
        <v>8</v>
      </c>
      <c r="C40" s="14">
        <f>Indeks!H41</f>
        <v>99.383446750672732</v>
      </c>
      <c r="D40" s="83">
        <f t="shared" si="1"/>
        <v>-6.1655324932726784E-3</v>
      </c>
      <c r="E40" s="83"/>
      <c r="F40" s="83"/>
      <c r="G40" s="83"/>
      <c r="H40" s="176"/>
      <c r="I40" s="55"/>
    </row>
    <row r="41" spans="1:9" ht="13.5" hidden="1" customHeight="1" x14ac:dyDescent="0.2">
      <c r="A41" s="16">
        <f t="shared" ref="A41:A50" si="4">A40</f>
        <v>2008</v>
      </c>
      <c r="B41" s="17" t="s">
        <v>9</v>
      </c>
      <c r="C41" s="18">
        <f>Indeks!H42</f>
        <v>99.524257885272576</v>
      </c>
      <c r="D41" s="84">
        <f t="shared" si="1"/>
        <v>1.4168469619805207E-3</v>
      </c>
      <c r="E41" s="84">
        <f>(SUM(C39:C41)-SUM(C36:C38))/SUM(C36:C38)</f>
        <v>1.7842667341613279E-2</v>
      </c>
      <c r="F41" s="84"/>
      <c r="G41" s="84"/>
      <c r="H41" s="176"/>
      <c r="I41" s="55"/>
    </row>
    <row r="42" spans="1:9" ht="13.5" hidden="1" customHeight="1" x14ac:dyDescent="0.2">
      <c r="A42" s="21">
        <f t="shared" si="4"/>
        <v>2008</v>
      </c>
      <c r="B42" s="22" t="s">
        <v>10</v>
      </c>
      <c r="C42" s="23">
        <f>Indeks!H43</f>
        <v>100.34467210919578</v>
      </c>
      <c r="D42" s="85">
        <f t="shared" si="1"/>
        <v>8.2433593714303071E-3</v>
      </c>
      <c r="E42" s="85"/>
      <c r="F42" s="85"/>
      <c r="G42" s="85"/>
      <c r="H42" s="176"/>
      <c r="I42" s="55"/>
    </row>
    <row r="43" spans="1:9" ht="13.5" hidden="1" customHeight="1" x14ac:dyDescent="0.2">
      <c r="A43" s="12">
        <f t="shared" si="4"/>
        <v>2008</v>
      </c>
      <c r="B43" s="13" t="s">
        <v>11</v>
      </c>
      <c r="C43" s="14">
        <f>Indeks!H44</f>
        <v>101.60504538372001</v>
      </c>
      <c r="D43" s="83">
        <f t="shared" si="1"/>
        <v>1.2560440410355617E-2</v>
      </c>
      <c r="E43" s="83"/>
      <c r="F43" s="83"/>
      <c r="G43" s="83"/>
      <c r="H43" s="176"/>
      <c r="I43" s="55"/>
    </row>
    <row r="44" spans="1:9" ht="13.5" hidden="1" customHeight="1" x14ac:dyDescent="0.2">
      <c r="A44" s="16">
        <f t="shared" si="4"/>
        <v>2008</v>
      </c>
      <c r="B44" s="17" t="s">
        <v>12</v>
      </c>
      <c r="C44" s="18">
        <f>Indeks!H45</f>
        <v>102.05760964772745</v>
      </c>
      <c r="D44" s="84">
        <f t="shared" si="1"/>
        <v>4.4541514872444392E-3</v>
      </c>
      <c r="E44" s="84">
        <f>(SUM(C42:C44)-SUM(C39:C41))/SUM(C39:C41)</f>
        <v>1.7060860009978779E-2</v>
      </c>
      <c r="F44" s="84">
        <f>(SUM(C39:C44)-SUM(C33:C38))/SUM(C33:C38)</f>
        <v>3.1777718232326307E-2</v>
      </c>
      <c r="G44" s="84"/>
      <c r="H44" s="176"/>
      <c r="I44" s="55"/>
    </row>
    <row r="45" spans="1:9" ht="13.5" hidden="1" customHeight="1" x14ac:dyDescent="0.2">
      <c r="A45" s="21">
        <f t="shared" si="4"/>
        <v>2008</v>
      </c>
      <c r="B45" s="26" t="s">
        <v>30</v>
      </c>
      <c r="C45" s="28">
        <f>Indeks!H46</f>
        <v>103.85741111629646</v>
      </c>
      <c r="D45" s="85">
        <f t="shared" si="1"/>
        <v>1.7635152094796217E-2</v>
      </c>
      <c r="E45" s="85"/>
      <c r="F45" s="85"/>
      <c r="G45" s="85"/>
      <c r="H45" s="176"/>
      <c r="I45" s="55"/>
    </row>
    <row r="46" spans="1:9" ht="13.5" hidden="1" customHeight="1" x14ac:dyDescent="0.2">
      <c r="A46" s="12">
        <f t="shared" si="4"/>
        <v>2008</v>
      </c>
      <c r="B46" s="13" t="s">
        <v>13</v>
      </c>
      <c r="C46" s="14">
        <f>Indeks!H47</f>
        <v>105.15926978784404</v>
      </c>
      <c r="D46" s="83">
        <f t="shared" si="1"/>
        <v>1.2535057994944577E-2</v>
      </c>
      <c r="E46" s="83"/>
      <c r="F46" s="83"/>
      <c r="G46" s="83"/>
      <c r="H46" s="176"/>
      <c r="I46" s="55"/>
    </row>
    <row r="47" spans="1:9" ht="13.5" hidden="1" customHeight="1" x14ac:dyDescent="0.2">
      <c r="A47" s="16">
        <f t="shared" si="4"/>
        <v>2008</v>
      </c>
      <c r="B47" s="17" t="s">
        <v>14</v>
      </c>
      <c r="C47" s="18">
        <f>Indeks!H48</f>
        <v>105.10102927747189</v>
      </c>
      <c r="D47" s="84">
        <f t="shared" si="1"/>
        <v>-5.5383144528906307E-4</v>
      </c>
      <c r="E47" s="84">
        <f>(SUM(C45:C47)-SUM(C42:C44))/SUM(C42:C44)</f>
        <v>3.3257037374930735E-2</v>
      </c>
      <c r="F47" s="84"/>
      <c r="G47" s="84"/>
      <c r="H47" s="176"/>
      <c r="I47" s="55"/>
    </row>
    <row r="48" spans="1:9" ht="13.5" hidden="1" customHeight="1" x14ac:dyDescent="0.2">
      <c r="A48" s="21">
        <f t="shared" si="4"/>
        <v>2008</v>
      </c>
      <c r="B48" s="22" t="s">
        <v>15</v>
      </c>
      <c r="C48" s="23">
        <f>Indeks!H49</f>
        <v>104.1004022871024</v>
      </c>
      <c r="D48" s="85">
        <f t="shared" si="1"/>
        <v>-9.5206202760183493E-3</v>
      </c>
      <c r="E48" s="85"/>
      <c r="F48" s="85"/>
      <c r="G48" s="85"/>
      <c r="H48" s="176"/>
      <c r="I48" s="55"/>
    </row>
    <row r="49" spans="1:9" ht="13.5" hidden="1" customHeight="1" x14ac:dyDescent="0.2">
      <c r="A49" s="12">
        <f t="shared" si="4"/>
        <v>2008</v>
      </c>
      <c r="B49" s="13" t="s">
        <v>16</v>
      </c>
      <c r="C49" s="14">
        <f>Indeks!H50</f>
        <v>104.06496664481814</v>
      </c>
      <c r="D49" s="83">
        <f t="shared" si="1"/>
        <v>-3.4039870649612267E-4</v>
      </c>
      <c r="E49" s="83"/>
      <c r="F49" s="83"/>
      <c r="G49" s="83"/>
      <c r="H49" s="176"/>
      <c r="I49" s="55"/>
    </row>
    <row r="50" spans="1:9" ht="13.5" hidden="1" customHeight="1" thickBot="1" x14ac:dyDescent="0.25">
      <c r="A50" s="38">
        <f t="shared" si="4"/>
        <v>2008</v>
      </c>
      <c r="B50" s="39" t="s">
        <v>17</v>
      </c>
      <c r="C50" s="40">
        <f>Indeks!H51</f>
        <v>103.31750424738101</v>
      </c>
      <c r="D50" s="89">
        <f t="shared" si="1"/>
        <v>-7.1826515832968084E-3</v>
      </c>
      <c r="E50" s="89">
        <f>(SUM(C48:C50)-SUM(C45:C47))/SUM(C45:C47)</f>
        <v>-8.3880561869226818E-3</v>
      </c>
      <c r="F50" s="89">
        <f>(SUM(C45:C50)-SUM(C39:C44))/SUM(C39:C44)</f>
        <v>3.7626448817304758E-2</v>
      </c>
      <c r="G50" s="89">
        <f>(SUM(C39:C50)-SUM(C27:C38))/SUM(C27:C38)</f>
        <v>6.4092053202934346E-2</v>
      </c>
      <c r="H50" s="176"/>
      <c r="I50" s="55"/>
    </row>
    <row r="51" spans="1:9" ht="13.5" hidden="1" customHeight="1" x14ac:dyDescent="0.2">
      <c r="A51" s="8">
        <v>2009</v>
      </c>
      <c r="B51" s="13" t="s">
        <v>7</v>
      </c>
      <c r="C51" s="14">
        <f>Indeks!H52</f>
        <v>102.44626518020767</v>
      </c>
      <c r="D51" s="58">
        <f t="shared" si="1"/>
        <v>-8.4326375624333722E-3</v>
      </c>
      <c r="E51" s="83"/>
      <c r="F51" s="83"/>
      <c r="G51" s="83"/>
      <c r="H51" s="176"/>
      <c r="I51" s="55"/>
    </row>
    <row r="52" spans="1:9" ht="13.5" hidden="1" customHeight="1" x14ac:dyDescent="0.2">
      <c r="A52" s="12">
        <f>A51</f>
        <v>2009</v>
      </c>
      <c r="B52" s="13" t="s">
        <v>8</v>
      </c>
      <c r="C52" s="14">
        <f>Indeks!H53</f>
        <v>100.44236907631158</v>
      </c>
      <c r="D52" s="83">
        <f t="shared" si="1"/>
        <v>-1.9560460309325588E-2</v>
      </c>
      <c r="E52" s="83"/>
      <c r="F52" s="83"/>
      <c r="G52" s="83"/>
      <c r="H52" s="176"/>
      <c r="I52" s="55"/>
    </row>
    <row r="53" spans="1:9" ht="13.5" hidden="1" customHeight="1" x14ac:dyDescent="0.2">
      <c r="A53" s="16">
        <f t="shared" ref="A53:A62" si="5">A52</f>
        <v>2009</v>
      </c>
      <c r="B53" s="17" t="s">
        <v>9</v>
      </c>
      <c r="C53" s="18">
        <f>Indeks!H54</f>
        <v>100.03882454261429</v>
      </c>
      <c r="D53" s="84">
        <f t="shared" si="1"/>
        <v>-4.0176723967023384E-3</v>
      </c>
      <c r="E53" s="84">
        <f>(SUM(C51:C53)-SUM(C48:C50))/SUM(C48:C50)</f>
        <v>-2.7466724872680894E-2</v>
      </c>
      <c r="F53" s="84"/>
      <c r="G53" s="84"/>
      <c r="H53" s="176"/>
      <c r="I53" s="55"/>
    </row>
    <row r="54" spans="1:9" ht="13.5" hidden="1" customHeight="1" x14ac:dyDescent="0.2">
      <c r="A54" s="21">
        <f t="shared" si="5"/>
        <v>2009</v>
      </c>
      <c r="B54" s="22" t="s">
        <v>10</v>
      </c>
      <c r="C54" s="23">
        <f>Indeks!H55</f>
        <v>100.45099393243727</v>
      </c>
      <c r="D54" s="85">
        <f t="shared" si="1"/>
        <v>4.1200942904662278E-3</v>
      </c>
      <c r="E54" s="85"/>
      <c r="F54" s="85"/>
      <c r="G54" s="85"/>
      <c r="H54" s="176"/>
      <c r="I54" s="55"/>
    </row>
    <row r="55" spans="1:9" ht="13.5" hidden="1" customHeight="1" x14ac:dyDescent="0.2">
      <c r="A55" s="12">
        <f t="shared" si="5"/>
        <v>2009</v>
      </c>
      <c r="B55" s="13" t="s">
        <v>11</v>
      </c>
      <c r="C55" s="14">
        <f>Indeks!H56</f>
        <v>99.941426133001983</v>
      </c>
      <c r="D55" s="83">
        <f t="shared" si="1"/>
        <v>-5.0727999742642719E-3</v>
      </c>
      <c r="E55" s="83"/>
      <c r="F55" s="83"/>
      <c r="G55" s="83"/>
      <c r="H55" s="176"/>
      <c r="I55" s="55"/>
    </row>
    <row r="56" spans="1:9" ht="13.5" hidden="1" customHeight="1" x14ac:dyDescent="0.2">
      <c r="A56" s="16">
        <f t="shared" si="5"/>
        <v>2009</v>
      </c>
      <c r="B56" s="17" t="s">
        <v>12</v>
      </c>
      <c r="C56" s="18">
        <f>Indeks!H57</f>
        <v>100.23724543427278</v>
      </c>
      <c r="D56" s="84">
        <f t="shared" si="1"/>
        <v>2.959926756269422E-3</v>
      </c>
      <c r="E56" s="84">
        <f>(SUM(C54:C56)-SUM(C51:C53))/SUM(C51:C53)</f>
        <v>-7.5852922297980213E-3</v>
      </c>
      <c r="F56" s="84">
        <f>(SUM(C51:C56)-SUM(C45:C50))/SUM(C45:C50)</f>
        <v>-3.5235675362775998E-2</v>
      </c>
      <c r="G56" s="84"/>
      <c r="H56" s="176"/>
      <c r="I56" s="55"/>
    </row>
    <row r="57" spans="1:9" ht="13.5" hidden="1" customHeight="1" x14ac:dyDescent="0.2">
      <c r="A57" s="21">
        <f t="shared" si="5"/>
        <v>2009</v>
      </c>
      <c r="B57" s="26" t="s">
        <v>30</v>
      </c>
      <c r="C57" s="23">
        <f>Indeks!H58</f>
        <v>100.91462050192989</v>
      </c>
      <c r="D57" s="85">
        <f t="shared" si="1"/>
        <v>6.7577182984470156E-3</v>
      </c>
      <c r="E57" s="85"/>
      <c r="F57" s="85"/>
      <c r="G57" s="85"/>
      <c r="H57" s="176"/>
      <c r="I57" s="55"/>
    </row>
    <row r="58" spans="1:9" ht="13.5" hidden="1" customHeight="1" x14ac:dyDescent="0.2">
      <c r="A58" s="32">
        <f t="shared" si="5"/>
        <v>2009</v>
      </c>
      <c r="B58" s="33" t="s">
        <v>13</v>
      </c>
      <c r="C58" s="34">
        <f>Indeks!H59</f>
        <v>101.14278843378494</v>
      </c>
      <c r="D58" s="83">
        <f t="shared" si="1"/>
        <v>2.2609997512767835E-3</v>
      </c>
      <c r="E58" s="116"/>
      <c r="F58" s="116"/>
      <c r="G58" s="116"/>
      <c r="H58" s="176"/>
      <c r="I58" s="55"/>
    </row>
    <row r="59" spans="1:9" ht="13.5" hidden="1" customHeight="1" x14ac:dyDescent="0.2">
      <c r="A59" s="63">
        <f t="shared" si="5"/>
        <v>2009</v>
      </c>
      <c r="B59" s="64" t="s">
        <v>14</v>
      </c>
      <c r="C59" s="65">
        <f>Indeks!H60</f>
        <v>100.47195565458402</v>
      </c>
      <c r="D59" s="84">
        <f t="shared" si="1"/>
        <v>-6.6325319836331676E-3</v>
      </c>
      <c r="E59" s="117">
        <f>(SUM(C57:C59)-SUM(C54:C56))/SUM(C54:C56)</f>
        <v>6.3190673063787421E-3</v>
      </c>
      <c r="F59" s="117"/>
      <c r="G59" s="117"/>
      <c r="H59" s="176"/>
      <c r="I59" s="66"/>
    </row>
    <row r="60" spans="1:9" ht="13.5" hidden="1" customHeight="1" x14ac:dyDescent="0.2">
      <c r="A60" s="70">
        <f t="shared" si="5"/>
        <v>2009</v>
      </c>
      <c r="B60" s="71" t="s">
        <v>15</v>
      </c>
      <c r="C60" s="68">
        <f>Indeks!H61</f>
        <v>101.22472416038572</v>
      </c>
      <c r="D60" s="85">
        <f t="shared" si="1"/>
        <v>7.4923246083679878E-3</v>
      </c>
      <c r="E60" s="118"/>
      <c r="F60" s="118"/>
      <c r="G60" s="118"/>
      <c r="H60" s="176"/>
      <c r="I60" s="66"/>
    </row>
    <row r="61" spans="1:9" ht="13.5" hidden="1" customHeight="1" x14ac:dyDescent="0.2">
      <c r="A61" s="32">
        <f t="shared" si="5"/>
        <v>2009</v>
      </c>
      <c r="B61" s="33" t="s">
        <v>16</v>
      </c>
      <c r="C61" s="34">
        <f>Indeks!H62</f>
        <v>100.63721473803184</v>
      </c>
      <c r="D61" s="83">
        <f t="shared" si="1"/>
        <v>-5.8040110973579416E-3</v>
      </c>
      <c r="E61" s="116"/>
      <c r="F61" s="116"/>
      <c r="G61" s="116"/>
      <c r="H61" s="176"/>
      <c r="I61" s="66"/>
    </row>
    <row r="62" spans="1:9" ht="13.5" hidden="1" customHeight="1" thickBot="1" x14ac:dyDescent="0.25">
      <c r="A62" s="72">
        <f t="shared" si="5"/>
        <v>2009</v>
      </c>
      <c r="B62" s="73" t="s">
        <v>17</v>
      </c>
      <c r="C62" s="69">
        <f>Indeks!H63</f>
        <v>101.17875591000654</v>
      </c>
      <c r="D62" s="93">
        <f t="shared" si="1"/>
        <v>5.3811224146493178E-3</v>
      </c>
      <c r="E62" s="138">
        <f>(SUM(C60:C62)-SUM(C57:C59))/SUM(C57:C59)</f>
        <v>1.6901837572619275E-3</v>
      </c>
      <c r="F62" s="138">
        <f>(SUM(C57:C62)-SUM(C51:C56))/SUM(C51:C56)</f>
        <v>3.3351194424484929E-3</v>
      </c>
      <c r="G62" s="93">
        <f>(SUM(C51:C62)-SUM(C39:C50))/SUM(C39:C50)</f>
        <v>-1.5781998373512084E-2</v>
      </c>
      <c r="H62" s="176"/>
      <c r="I62" s="66"/>
    </row>
    <row r="63" spans="1:9" ht="13.5" hidden="1" customHeight="1" x14ac:dyDescent="0.2">
      <c r="A63" s="87">
        <v>2010</v>
      </c>
      <c r="B63" s="88" t="s">
        <v>7</v>
      </c>
      <c r="C63" s="14">
        <f>Indeks!H64</f>
        <v>101.71793762201607</v>
      </c>
      <c r="D63" s="116">
        <f t="shared" si="1"/>
        <v>5.3290012034650615E-3</v>
      </c>
      <c r="E63" s="148"/>
      <c r="F63" s="148"/>
      <c r="G63" s="148"/>
      <c r="H63" s="78"/>
      <c r="I63" s="55"/>
    </row>
    <row r="64" spans="1:9" ht="13.5" hidden="1" customHeight="1" x14ac:dyDescent="0.2">
      <c r="A64" s="32">
        <f>A63</f>
        <v>2010</v>
      </c>
      <c r="B64" s="33" t="s">
        <v>8</v>
      </c>
      <c r="C64" s="14">
        <f>Indeks!H65</f>
        <v>101.34486093673642</v>
      </c>
      <c r="D64" s="116">
        <f t="shared" si="1"/>
        <v>-3.6677570741356883E-3</v>
      </c>
      <c r="E64" s="148"/>
      <c r="F64" s="148"/>
      <c r="G64" s="148"/>
      <c r="H64" s="78"/>
      <c r="I64" s="55"/>
    </row>
    <row r="65" spans="1:9" ht="13.5" hidden="1" customHeight="1" x14ac:dyDescent="0.2">
      <c r="A65" s="63">
        <f t="shared" ref="A65:A74" si="6">A64</f>
        <v>2010</v>
      </c>
      <c r="B65" s="64" t="s">
        <v>9</v>
      </c>
      <c r="C65" s="18">
        <f>Indeks!H66</f>
        <v>102.04076296881883</v>
      </c>
      <c r="D65" s="117">
        <f t="shared" si="1"/>
        <v>6.8666731164277904E-3</v>
      </c>
      <c r="E65" s="91">
        <f>(SUM(C63:C65)-SUM(C60:C62))/SUM(C60:C62)</f>
        <v>6.807226733859183E-3</v>
      </c>
      <c r="F65" s="91"/>
      <c r="G65" s="91"/>
      <c r="H65" s="139"/>
      <c r="I65" s="55"/>
    </row>
    <row r="66" spans="1:9" ht="13.5" hidden="1" customHeight="1" x14ac:dyDescent="0.2">
      <c r="A66" s="70">
        <f t="shared" si="6"/>
        <v>2010</v>
      </c>
      <c r="B66" s="71" t="s">
        <v>10</v>
      </c>
      <c r="C66" s="23">
        <f>Indeks!H67</f>
        <v>101.97301151351795</v>
      </c>
      <c r="D66" s="118">
        <f t="shared" si="1"/>
        <v>-6.639646091394114E-4</v>
      </c>
      <c r="E66" s="151"/>
      <c r="F66" s="151"/>
      <c r="G66" s="151"/>
      <c r="H66" s="76"/>
      <c r="I66" s="55"/>
    </row>
    <row r="67" spans="1:9" ht="13.5" hidden="1" customHeight="1" x14ac:dyDescent="0.2">
      <c r="A67" s="32">
        <f t="shared" si="6"/>
        <v>2010</v>
      </c>
      <c r="B67" s="33" t="s">
        <v>11</v>
      </c>
      <c r="C67" s="14">
        <f>Indeks!H68</f>
        <v>102.59018325031738</v>
      </c>
      <c r="D67" s="116">
        <f t="shared" si="1"/>
        <v>6.0523046994411852E-3</v>
      </c>
      <c r="E67" s="148"/>
      <c r="F67" s="148"/>
      <c r="G67" s="148"/>
      <c r="H67" s="78"/>
      <c r="I67" s="55"/>
    </row>
    <row r="68" spans="1:9" ht="13.5" hidden="1" customHeight="1" x14ac:dyDescent="0.2">
      <c r="A68" s="63">
        <f t="shared" si="6"/>
        <v>2010</v>
      </c>
      <c r="B68" s="64" t="s">
        <v>12</v>
      </c>
      <c r="C68" s="18">
        <f>Indeks!H69</f>
        <v>103.02122460369421</v>
      </c>
      <c r="D68" s="117">
        <f t="shared" si="1"/>
        <v>4.2015847883329852E-3</v>
      </c>
      <c r="E68" s="91">
        <f>(SUM(C66:C68)-SUM(C63:C65))/SUM(C63:C65)</f>
        <v>8.1311992149068636E-3</v>
      </c>
      <c r="F68" s="91">
        <f>(SUM(C63:C68)-SUM(C57:C62))/SUM(C57:C62)</f>
        <v>1.1754084248229452E-2</v>
      </c>
      <c r="G68" s="91"/>
      <c r="H68" s="139"/>
      <c r="I68" s="55"/>
    </row>
    <row r="69" spans="1:9" ht="13.5" hidden="1" customHeight="1" x14ac:dyDescent="0.2">
      <c r="A69" s="70">
        <f t="shared" si="6"/>
        <v>2010</v>
      </c>
      <c r="B69" s="75" t="s">
        <v>30</v>
      </c>
      <c r="C69" s="23">
        <f>Indeks!H70</f>
        <v>103.54391995625241</v>
      </c>
      <c r="D69" s="118">
        <f t="shared" ref="D69:D86" si="7">(C69-C68)/C68</f>
        <v>5.0736666601365436E-3</v>
      </c>
      <c r="E69" s="151"/>
      <c r="F69" s="151"/>
      <c r="G69" s="151"/>
      <c r="H69" s="76"/>
      <c r="I69" s="55"/>
    </row>
    <row r="70" spans="1:9" ht="13.5" hidden="1" customHeight="1" x14ac:dyDescent="0.2">
      <c r="A70" s="32">
        <f t="shared" si="6"/>
        <v>2010</v>
      </c>
      <c r="B70" s="33" t="s">
        <v>13</v>
      </c>
      <c r="C70" s="34">
        <f>Indeks!H71</f>
        <v>103.68044887758985</v>
      </c>
      <c r="D70" s="116">
        <f t="shared" si="7"/>
        <v>1.3185604852040344E-3</v>
      </c>
      <c r="E70" s="148"/>
      <c r="F70" s="148"/>
      <c r="G70" s="148"/>
      <c r="H70" s="78"/>
      <c r="I70" s="55"/>
    </row>
    <row r="71" spans="1:9" ht="13.5" hidden="1" customHeight="1" x14ac:dyDescent="0.2">
      <c r="A71" s="63">
        <f t="shared" si="6"/>
        <v>2010</v>
      </c>
      <c r="B71" s="64" t="s">
        <v>14</v>
      </c>
      <c r="C71" s="65">
        <f>Indeks!H72</f>
        <v>103.44437520283692</v>
      </c>
      <c r="D71" s="117">
        <f t="shared" si="7"/>
        <v>-2.2769353075588064E-3</v>
      </c>
      <c r="E71" s="91">
        <f>(SUM(C69:C71)-SUM(C66:C68))/SUM(C66:C68)</f>
        <v>1.0027571212780431E-2</v>
      </c>
      <c r="F71" s="91"/>
      <c r="G71" s="91"/>
      <c r="H71" s="139"/>
      <c r="I71" s="66"/>
    </row>
    <row r="72" spans="1:9" ht="13.5" hidden="1" customHeight="1" x14ac:dyDescent="0.2">
      <c r="A72" s="70">
        <f t="shared" si="6"/>
        <v>2010</v>
      </c>
      <c r="B72" s="71" t="s">
        <v>15</v>
      </c>
      <c r="C72" s="68">
        <f>Indeks!H73</f>
        <v>103.17975935042105</v>
      </c>
      <c r="D72" s="118">
        <f t="shared" si="7"/>
        <v>-2.5580496947949583E-3</v>
      </c>
      <c r="E72" s="151"/>
      <c r="F72" s="151"/>
      <c r="G72" s="151"/>
      <c r="H72" s="76"/>
      <c r="I72" s="66"/>
    </row>
    <row r="73" spans="1:9" ht="13.5" hidden="1" customHeight="1" x14ac:dyDescent="0.2">
      <c r="A73" s="32">
        <f t="shared" si="6"/>
        <v>2010</v>
      </c>
      <c r="B73" s="33" t="s">
        <v>16</v>
      </c>
      <c r="C73" s="34">
        <f>Indeks!H74</f>
        <v>103.80777308415638</v>
      </c>
      <c r="D73" s="148">
        <f t="shared" si="7"/>
        <v>6.0865981631383478E-3</v>
      </c>
      <c r="E73" s="148"/>
      <c r="F73" s="148"/>
      <c r="G73" s="148"/>
      <c r="H73" s="78"/>
      <c r="I73" s="66"/>
    </row>
    <row r="74" spans="1:9" ht="13.5" hidden="1" customHeight="1" thickBot="1" x14ac:dyDescent="0.25">
      <c r="A74" s="72">
        <f t="shared" si="6"/>
        <v>2010</v>
      </c>
      <c r="B74" s="73" t="s">
        <v>17</v>
      </c>
      <c r="C74" s="69">
        <f>Indeks!H75</f>
        <v>103.82446466259715</v>
      </c>
      <c r="D74" s="93">
        <f t="shared" si="7"/>
        <v>1.6079314626313057E-4</v>
      </c>
      <c r="E74" s="138">
        <f>(SUM(C72:C74)-SUM(C69:C71))/SUM(C69:C71)</f>
        <v>4.6111191822529647E-4</v>
      </c>
      <c r="F74" s="138">
        <f>(SUM(C69:C74)-SUM(C63:C68))/SUM(C63:C68)</f>
        <v>1.4351122452095699E-2</v>
      </c>
      <c r="G74" s="138">
        <f>(SUM(C63:C74)-SUM(C51:C62))/SUM(C51:C62)</f>
        <v>2.0710425395290468E-2</v>
      </c>
      <c r="H74" s="135"/>
      <c r="I74" s="66"/>
    </row>
    <row r="75" spans="1:9" ht="13.5" hidden="1" customHeight="1" x14ac:dyDescent="0.2">
      <c r="A75" s="74">
        <v>2011</v>
      </c>
      <c r="B75" s="33" t="s">
        <v>7</v>
      </c>
      <c r="C75" s="78">
        <f>Indeks!H76</f>
        <v>104.58505674273317</v>
      </c>
      <c r="D75" s="147">
        <f t="shared" si="7"/>
        <v>7.3257500783437722E-3</v>
      </c>
      <c r="E75" s="156"/>
      <c r="F75" s="156"/>
      <c r="G75" s="156"/>
      <c r="H75" s="78"/>
      <c r="I75" s="55"/>
    </row>
    <row r="76" spans="1:9" ht="13.5" hidden="1" customHeight="1" x14ac:dyDescent="0.2">
      <c r="A76" s="32">
        <f>A75</f>
        <v>2011</v>
      </c>
      <c r="B76" s="33" t="s">
        <v>8</v>
      </c>
      <c r="C76" s="78">
        <f>Indeks!H77</f>
        <v>104.98013649700204</v>
      </c>
      <c r="D76" s="116">
        <f t="shared" si="7"/>
        <v>3.7775927706451664E-3</v>
      </c>
      <c r="E76" s="148"/>
      <c r="F76" s="148"/>
      <c r="G76" s="148"/>
      <c r="H76" s="78"/>
      <c r="I76" s="55"/>
    </row>
    <row r="77" spans="1:9" ht="13.5" hidden="1" customHeight="1" x14ac:dyDescent="0.2">
      <c r="A77" s="63">
        <f t="shared" ref="A77:A86" si="8">A76</f>
        <v>2011</v>
      </c>
      <c r="B77" s="64" t="s">
        <v>9</v>
      </c>
      <c r="C77" s="139">
        <f>Indeks!H78</f>
        <v>105.99337858333936</v>
      </c>
      <c r="D77" s="117">
        <f t="shared" si="7"/>
        <v>9.651750513453218E-3</v>
      </c>
      <c r="E77" s="91">
        <f>(SUM(C75:C77)-SUM(C72:C74))/SUM(C72:C74)</f>
        <v>1.5271529960974951E-2</v>
      </c>
      <c r="F77" s="91"/>
      <c r="G77" s="91"/>
      <c r="H77" s="139"/>
      <c r="I77" s="55"/>
    </row>
    <row r="78" spans="1:9" ht="13.5" hidden="1" customHeight="1" x14ac:dyDescent="0.2">
      <c r="A78" s="70">
        <f t="shared" si="8"/>
        <v>2011</v>
      </c>
      <c r="B78" s="71" t="s">
        <v>10</v>
      </c>
      <c r="C78" s="76">
        <f>Indeks!H79</f>
        <v>106.73958017361328</v>
      </c>
      <c r="D78" s="118">
        <f t="shared" si="7"/>
        <v>7.0400774109412598E-3</v>
      </c>
      <c r="E78" s="151"/>
      <c r="F78" s="151"/>
      <c r="G78" s="151"/>
      <c r="H78" s="76"/>
      <c r="I78" s="55"/>
    </row>
    <row r="79" spans="1:9" ht="13.5" hidden="1" customHeight="1" x14ac:dyDescent="0.2">
      <c r="A79" s="32">
        <f t="shared" si="8"/>
        <v>2011</v>
      </c>
      <c r="B79" s="33" t="s">
        <v>11</v>
      </c>
      <c r="C79" s="78">
        <f>Indeks!H80</f>
        <v>107.36690599244854</v>
      </c>
      <c r="D79" s="116">
        <f t="shared" si="7"/>
        <v>5.8771621343732712E-3</v>
      </c>
      <c r="E79" s="148"/>
      <c r="F79" s="148"/>
      <c r="G79" s="148"/>
      <c r="H79" s="78"/>
      <c r="I79" s="55"/>
    </row>
    <row r="80" spans="1:9" ht="13.5" hidden="1" customHeight="1" x14ac:dyDescent="0.2">
      <c r="A80" s="63">
        <f t="shared" si="8"/>
        <v>2011</v>
      </c>
      <c r="B80" s="64" t="s">
        <v>12</v>
      </c>
      <c r="C80" s="139">
        <f>Indeks!H81</f>
        <v>107.9271775757901</v>
      </c>
      <c r="D80" s="117">
        <f t="shared" si="7"/>
        <v>5.2182893617234889E-3</v>
      </c>
      <c r="E80" s="91">
        <f>(SUM(C78:C80)-SUM(C75:C77))/SUM(C75:C77)</f>
        <v>2.0519461351877905E-2</v>
      </c>
      <c r="F80" s="91">
        <f>(SUM(C75:C80)-SUM(C69:C74))/SUM(C69:C74)</f>
        <v>2.5924366379685884E-2</v>
      </c>
      <c r="G80" s="91"/>
      <c r="H80" s="139"/>
      <c r="I80" s="55"/>
    </row>
    <row r="81" spans="1:9" ht="13.5" hidden="1" customHeight="1" x14ac:dyDescent="0.2">
      <c r="A81" s="70">
        <f t="shared" si="8"/>
        <v>2011</v>
      </c>
      <c r="B81" s="75" t="s">
        <v>30</v>
      </c>
      <c r="C81" s="76">
        <f>Indeks!H82</f>
        <v>107.30731154423297</v>
      </c>
      <c r="D81" s="118">
        <f t="shared" si="7"/>
        <v>-5.7433729435000967E-3</v>
      </c>
      <c r="E81" s="151"/>
      <c r="F81" s="151"/>
      <c r="G81" s="151"/>
      <c r="H81" s="76"/>
      <c r="I81" s="55"/>
    </row>
    <row r="82" spans="1:9" ht="13.5" hidden="1" customHeight="1" x14ac:dyDescent="0.2">
      <c r="A82" s="32">
        <f t="shared" si="8"/>
        <v>2011</v>
      </c>
      <c r="B82" s="33" t="s">
        <v>13</v>
      </c>
      <c r="C82" s="78">
        <f>Indeks!H83</f>
        <v>107.77995894618688</v>
      </c>
      <c r="D82" s="116">
        <f t="shared" si="7"/>
        <v>4.4046150737741445E-3</v>
      </c>
      <c r="E82" s="148"/>
      <c r="F82" s="148"/>
      <c r="G82" s="148"/>
      <c r="H82" s="78"/>
      <c r="I82" s="55"/>
    </row>
    <row r="83" spans="1:9" ht="13.5" hidden="1" customHeight="1" x14ac:dyDescent="0.2">
      <c r="A83" s="63">
        <f t="shared" si="8"/>
        <v>2011</v>
      </c>
      <c r="B83" s="64" t="s">
        <v>14</v>
      </c>
      <c r="C83" s="139">
        <f>Indeks!H84</f>
        <v>107.72051815768444</v>
      </c>
      <c r="D83" s="117">
        <f t="shared" si="7"/>
        <v>-5.515013095534801E-4</v>
      </c>
      <c r="E83" s="91">
        <f>(SUM(C81:C83)-SUM(C78:C80))/SUM(C78:C80)</f>
        <v>2.4038633019215494E-3</v>
      </c>
      <c r="F83" s="91"/>
      <c r="G83" s="91"/>
      <c r="H83" s="139"/>
      <c r="I83" s="66"/>
    </row>
    <row r="84" spans="1:9" ht="13.5" hidden="1" customHeight="1" x14ac:dyDescent="0.2">
      <c r="A84" s="70">
        <f t="shared" si="8"/>
        <v>2011</v>
      </c>
      <c r="B84" s="71" t="s">
        <v>15</v>
      </c>
      <c r="C84" s="76">
        <f>Indeks!H85</f>
        <v>107.15480734386321</v>
      </c>
      <c r="D84" s="116">
        <f t="shared" si="7"/>
        <v>-5.2516532922086629E-3</v>
      </c>
      <c r="E84" s="151"/>
      <c r="F84" s="151"/>
      <c r="G84" s="151"/>
      <c r="H84" s="76"/>
      <c r="I84" s="66"/>
    </row>
    <row r="85" spans="1:9" ht="13.5" hidden="1" customHeight="1" x14ac:dyDescent="0.2">
      <c r="A85" s="32">
        <f t="shared" si="8"/>
        <v>2011</v>
      </c>
      <c r="B85" s="33" t="s">
        <v>16</v>
      </c>
      <c r="C85" s="78">
        <f>Indeks!H86</f>
        <v>107.28408664030727</v>
      </c>
      <c r="D85" s="116">
        <f t="shared" si="7"/>
        <v>1.2064722026814184E-3</v>
      </c>
      <c r="E85" s="148"/>
      <c r="F85" s="148"/>
      <c r="G85" s="148"/>
      <c r="H85" s="78"/>
      <c r="I85" s="66"/>
    </row>
    <row r="86" spans="1:9" ht="13.5" hidden="1" customHeight="1" thickBot="1" x14ac:dyDescent="0.25">
      <c r="A86" s="72">
        <f t="shared" si="8"/>
        <v>2011</v>
      </c>
      <c r="B86" s="73" t="s">
        <v>17</v>
      </c>
      <c r="C86" s="135">
        <f>Indeks!H87</f>
        <v>108.00417847192873</v>
      </c>
      <c r="D86" s="93">
        <f t="shared" si="7"/>
        <v>6.7120097133857408E-3</v>
      </c>
      <c r="E86" s="148">
        <f>(SUM(C84:C86)-SUM(C81:C83))/SUM(C81:C83)</f>
        <v>-1.1298246350636928E-3</v>
      </c>
      <c r="F86" s="148">
        <f>(SUM(C81:C86)-SUM(C75:C80))/SUM(C75:C80)</f>
        <v>1.2011792352664535E-2</v>
      </c>
      <c r="G86" s="148">
        <f>(SUM(C75:C86)-SUM(C63:C74))/SUM(C63:C74)</f>
        <v>3.9438995472317266E-2</v>
      </c>
      <c r="H86" s="135"/>
      <c r="I86" s="66"/>
    </row>
    <row r="87" spans="1:9" ht="13.5" hidden="1" customHeight="1" x14ac:dyDescent="0.2">
      <c r="A87" s="74">
        <v>2012</v>
      </c>
      <c r="B87" s="33" t="s">
        <v>7</v>
      </c>
      <c r="C87" s="78">
        <f>Indeks!H88</f>
        <v>108.28959502910448</v>
      </c>
      <c r="D87" s="148">
        <f t="shared" ref="D87:D110" si="9">(C87-C86)/C86</f>
        <v>2.6426436570686283E-3</v>
      </c>
      <c r="E87" s="156"/>
      <c r="F87" s="156"/>
      <c r="G87" s="156"/>
      <c r="H87" s="78"/>
    </row>
    <row r="88" spans="1:9" ht="13.5" hidden="1" customHeight="1" x14ac:dyDescent="0.2">
      <c r="A88" s="32">
        <f>A87</f>
        <v>2012</v>
      </c>
      <c r="B88" s="33" t="s">
        <v>8</v>
      </c>
      <c r="C88" s="78">
        <f>Indeks!H89</f>
        <v>107.42545592963126</v>
      </c>
      <c r="D88" s="148">
        <f t="shared" si="9"/>
        <v>-7.9798903970503352E-3</v>
      </c>
      <c r="E88" s="148"/>
      <c r="F88" s="148"/>
      <c r="G88" s="148"/>
      <c r="H88" s="78"/>
    </row>
    <row r="89" spans="1:9" ht="13.5" hidden="1" customHeight="1" x14ac:dyDescent="0.2">
      <c r="A89" s="63">
        <f t="shared" ref="A89:A98" si="10">A88</f>
        <v>2012</v>
      </c>
      <c r="B89" s="64" t="s">
        <v>9</v>
      </c>
      <c r="C89" s="139">
        <f>Indeks!H90</f>
        <v>108.29331925732106</v>
      </c>
      <c r="D89" s="91">
        <f t="shared" si="9"/>
        <v>8.0787493074108568E-3</v>
      </c>
      <c r="E89" s="91">
        <f>(SUM(C87:C89)-SUM(C84:C86))/SUM(C84:C86)</f>
        <v>4.8544933778060162E-3</v>
      </c>
      <c r="F89" s="91"/>
      <c r="G89" s="91"/>
      <c r="H89" s="139"/>
    </row>
    <row r="90" spans="1:9" ht="13.5" hidden="1" customHeight="1" x14ac:dyDescent="0.2">
      <c r="A90" s="70">
        <f t="shared" si="10"/>
        <v>2012</v>
      </c>
      <c r="B90" s="71" t="s">
        <v>10</v>
      </c>
      <c r="C90" s="76">
        <f>Indeks!H91</f>
        <v>109.25827194239672</v>
      </c>
      <c r="D90" s="151">
        <f t="shared" si="9"/>
        <v>8.910546760348045E-3</v>
      </c>
      <c r="E90" s="151"/>
      <c r="F90" s="151"/>
      <c r="G90" s="151"/>
      <c r="H90" s="76"/>
    </row>
    <row r="91" spans="1:9" ht="13.5" hidden="1" customHeight="1" x14ac:dyDescent="0.2">
      <c r="A91" s="32">
        <f t="shared" si="10"/>
        <v>2012</v>
      </c>
      <c r="B91" s="33" t="s">
        <v>11</v>
      </c>
      <c r="C91" s="78">
        <f>Indeks!H92</f>
        <v>109.53779353454972</v>
      </c>
      <c r="D91" s="148">
        <f t="shared" si="9"/>
        <v>2.5583563347988214E-3</v>
      </c>
      <c r="E91" s="148"/>
      <c r="F91" s="148"/>
      <c r="G91" s="148"/>
      <c r="H91" s="78"/>
    </row>
    <row r="92" spans="1:9" ht="13.5" hidden="1" customHeight="1" x14ac:dyDescent="0.2">
      <c r="A92" s="63">
        <f t="shared" si="10"/>
        <v>2012</v>
      </c>
      <c r="B92" s="64" t="s">
        <v>12</v>
      </c>
      <c r="C92" s="139">
        <f>Indeks!H93</f>
        <v>109.13490121154003</v>
      </c>
      <c r="D92" s="91">
        <f t="shared" si="9"/>
        <v>-3.6781124578944275E-3</v>
      </c>
      <c r="E92" s="91">
        <f>(SUM(C90:C92)-SUM(C87:C89))/SUM(C87:C89)</f>
        <v>1.2106466477437001E-2</v>
      </c>
      <c r="F92" s="91">
        <f>(SUM(C87:C92)-SUM(C81:C86))/SUM(C81:C86)</f>
        <v>1.036569837178359E-2</v>
      </c>
      <c r="G92" s="91"/>
      <c r="H92" s="139"/>
    </row>
    <row r="93" spans="1:9" ht="13.5" hidden="1" customHeight="1" x14ac:dyDescent="0.2">
      <c r="A93" s="70">
        <f t="shared" si="10"/>
        <v>2012</v>
      </c>
      <c r="B93" s="75" t="s">
        <v>30</v>
      </c>
      <c r="C93" s="76">
        <f>Indeks!H94</f>
        <v>108.51726978812567</v>
      </c>
      <c r="D93" s="151">
        <f t="shared" si="9"/>
        <v>-5.6593391899184943E-3</v>
      </c>
      <c r="E93" s="151"/>
      <c r="F93" s="151"/>
      <c r="G93" s="151"/>
      <c r="H93" s="76"/>
    </row>
    <row r="94" spans="1:9" ht="13.5" hidden="1" customHeight="1" x14ac:dyDescent="0.2">
      <c r="A94" s="32">
        <f t="shared" si="10"/>
        <v>2012</v>
      </c>
      <c r="B94" s="33" t="s">
        <v>13</v>
      </c>
      <c r="C94" s="78">
        <f>Indeks!H95</f>
        <v>108.11610912573073</v>
      </c>
      <c r="D94" s="148">
        <f t="shared" si="9"/>
        <v>-3.6967448884236455E-3</v>
      </c>
      <c r="E94" s="148"/>
      <c r="F94" s="148"/>
      <c r="G94" s="148"/>
      <c r="H94" s="78"/>
    </row>
    <row r="95" spans="1:9" ht="13.5" hidden="1" customHeight="1" x14ac:dyDescent="0.2">
      <c r="A95" s="63">
        <f t="shared" si="10"/>
        <v>2012</v>
      </c>
      <c r="B95" s="64" t="s">
        <v>14</v>
      </c>
      <c r="C95" s="139">
        <f>Indeks!H96</f>
        <v>108.71904368898144</v>
      </c>
      <c r="D95" s="91">
        <f t="shared" si="9"/>
        <v>5.5767319794087899E-3</v>
      </c>
      <c r="E95" s="91">
        <f>(SUM(C93:C95)-SUM(C90:C92))/SUM(C90:C92)</f>
        <v>-7.8630698152336084E-3</v>
      </c>
      <c r="F95" s="91"/>
      <c r="G95" s="91"/>
      <c r="H95" s="139"/>
    </row>
    <row r="96" spans="1:9" ht="13.5" hidden="1" customHeight="1" x14ac:dyDescent="0.2">
      <c r="A96" s="70">
        <f t="shared" si="10"/>
        <v>2012</v>
      </c>
      <c r="B96" s="71" t="s">
        <v>15</v>
      </c>
      <c r="C96" s="76">
        <f>Indeks!H97</f>
        <v>109.53061868569037</v>
      </c>
      <c r="D96" s="148">
        <f t="shared" si="9"/>
        <v>7.4648835123186374E-3</v>
      </c>
      <c r="E96" s="151"/>
      <c r="F96" s="151"/>
      <c r="G96" s="151"/>
      <c r="H96" s="76"/>
    </row>
    <row r="97" spans="1:8" ht="13.5" hidden="1" customHeight="1" x14ac:dyDescent="0.2">
      <c r="A97" s="32">
        <f t="shared" si="10"/>
        <v>2012</v>
      </c>
      <c r="B97" s="33" t="s">
        <v>16</v>
      </c>
      <c r="C97" s="78">
        <f>Indeks!H98</f>
        <v>109.63876118087016</v>
      </c>
      <c r="D97" s="148">
        <f t="shared" si="9"/>
        <v>9.8732661677112979E-4</v>
      </c>
      <c r="E97" s="148"/>
      <c r="F97" s="148"/>
      <c r="G97" s="148"/>
      <c r="H97" s="78"/>
    </row>
    <row r="98" spans="1:8" ht="13.5" hidden="1" customHeight="1" thickBot="1" x14ac:dyDescent="0.25">
      <c r="A98" s="72">
        <f t="shared" si="10"/>
        <v>2012</v>
      </c>
      <c r="B98" s="73" t="s">
        <v>17</v>
      </c>
      <c r="C98" s="135">
        <f>Indeks!H99</f>
        <v>109.71193763101257</v>
      </c>
      <c r="D98" s="138">
        <f t="shared" si="9"/>
        <v>6.6743229633627272E-4</v>
      </c>
      <c r="E98" s="148">
        <f>(SUM(C96:C98)-SUM(C93:C95))/SUM(C93:C95)</f>
        <v>1.0846376573759222E-2</v>
      </c>
      <c r="F98" s="148">
        <f>(SUM(C93:C98)-SUM(C87:C92))/SUM(C87:C92)</f>
        <v>3.5193507524206597E-3</v>
      </c>
      <c r="G98" s="148">
        <f>(SUM(C87:C98)-SUM(C75:C86))/SUM(C75:C86)</f>
        <v>1.8186152613986862E-2</v>
      </c>
      <c r="H98" s="135">
        <f>(C87+C88+C89+C90+C91+C92+C93+C94+C95+C96+C97+C98)/12</f>
        <v>108.84775641707954</v>
      </c>
    </row>
    <row r="99" spans="1:8" ht="13.5" hidden="1" customHeight="1" x14ac:dyDescent="0.2">
      <c r="A99" s="74">
        <v>2013</v>
      </c>
      <c r="B99" s="33" t="s">
        <v>7</v>
      </c>
      <c r="C99" s="78">
        <f>Indeks!H100</f>
        <v>109.61162330376909</v>
      </c>
      <c r="D99" s="148">
        <f t="shared" si="9"/>
        <v>-9.1434286377169128E-4</v>
      </c>
      <c r="E99" s="156"/>
      <c r="F99" s="156"/>
      <c r="G99" s="156"/>
      <c r="H99" s="78"/>
    </row>
    <row r="100" spans="1:8" ht="13.5" hidden="1" customHeight="1" x14ac:dyDescent="0.2">
      <c r="A100" s="32">
        <f>A99</f>
        <v>2013</v>
      </c>
      <c r="B100" s="33" t="s">
        <v>8</v>
      </c>
      <c r="C100" s="78">
        <f>Indeks!H101</f>
        <v>109.06871627848055</v>
      </c>
      <c r="D100" s="148">
        <f t="shared" si="9"/>
        <v>-4.9530059762364093E-3</v>
      </c>
      <c r="E100" s="148"/>
      <c r="F100" s="148"/>
      <c r="G100" s="148"/>
      <c r="H100" s="78"/>
    </row>
    <row r="101" spans="1:8" ht="13.5" hidden="1" customHeight="1" x14ac:dyDescent="0.2">
      <c r="A101" s="63">
        <f t="shared" ref="A101:A110" si="11">A100</f>
        <v>2013</v>
      </c>
      <c r="B101" s="64" t="s">
        <v>9</v>
      </c>
      <c r="C101" s="139">
        <f>Indeks!H102</f>
        <v>109.30875268340239</v>
      </c>
      <c r="D101" s="91">
        <f t="shared" si="9"/>
        <v>2.200781425802825E-3</v>
      </c>
      <c r="E101" s="91">
        <f>(SUM(C99:C101)-SUM(C96:C98))/SUM(C96:C98)</f>
        <v>-2.7129094431690105E-3</v>
      </c>
      <c r="F101" s="91"/>
      <c r="G101" s="91"/>
      <c r="H101" s="139"/>
    </row>
    <row r="102" spans="1:8" ht="13.5" hidden="1" customHeight="1" x14ac:dyDescent="0.2">
      <c r="A102" s="70">
        <f t="shared" si="11"/>
        <v>2013</v>
      </c>
      <c r="B102" s="71" t="s">
        <v>10</v>
      </c>
      <c r="C102" s="76">
        <f>Indeks!H103</f>
        <v>109.98126889310322</v>
      </c>
      <c r="D102" s="178">
        <f t="shared" si="9"/>
        <v>6.1524461051045065E-3</v>
      </c>
      <c r="E102" s="178"/>
      <c r="F102" s="178"/>
      <c r="G102" s="178"/>
      <c r="H102" s="76"/>
    </row>
    <row r="103" spans="1:8" ht="13.5" hidden="1" customHeight="1" x14ac:dyDescent="0.2">
      <c r="A103" s="32">
        <f t="shared" si="11"/>
        <v>2013</v>
      </c>
      <c r="B103" s="33" t="s">
        <v>11</v>
      </c>
      <c r="C103" s="78">
        <f>Indeks!H104</f>
        <v>109.4734730209545</v>
      </c>
      <c r="D103" s="148">
        <f t="shared" si="9"/>
        <v>-4.6171123252112473E-3</v>
      </c>
      <c r="E103" s="148"/>
      <c r="F103" s="148"/>
      <c r="G103" s="148"/>
      <c r="H103" s="78"/>
    </row>
    <row r="104" spans="1:8" ht="13.5" hidden="1" customHeight="1" x14ac:dyDescent="0.2">
      <c r="A104" s="63">
        <f t="shared" si="11"/>
        <v>2013</v>
      </c>
      <c r="B104" s="64" t="s">
        <v>12</v>
      </c>
      <c r="C104" s="139">
        <f>Indeks!H105</f>
        <v>108.59665368749857</v>
      </c>
      <c r="D104" s="91">
        <f t="shared" si="9"/>
        <v>-8.0094228241767169E-3</v>
      </c>
      <c r="E104" s="91">
        <f>(SUM(C102:C104)-SUM(C99:C101))/SUM(C99:C101)</f>
        <v>1.8995551185516362E-4</v>
      </c>
      <c r="F104" s="91">
        <f>(SUM(C99:C104)-SUM(C93:C98))/SUM(C93:C98)</f>
        <v>2.7616242575935626E-3</v>
      </c>
      <c r="G104" s="91"/>
      <c r="H104" s="139"/>
    </row>
    <row r="105" spans="1:8" ht="13.5" hidden="1" customHeight="1" x14ac:dyDescent="0.2">
      <c r="A105" s="70">
        <f t="shared" si="11"/>
        <v>2013</v>
      </c>
      <c r="B105" s="75" t="s">
        <v>30</v>
      </c>
      <c r="C105" s="76">
        <f>Indeks!H106</f>
        <v>109.00738642005831</v>
      </c>
      <c r="D105" s="151">
        <f t="shared" si="9"/>
        <v>3.7821859018020505E-3</v>
      </c>
      <c r="E105" s="151"/>
      <c r="F105" s="151"/>
      <c r="G105" s="151"/>
      <c r="H105" s="76"/>
    </row>
    <row r="106" spans="1:8" ht="13.5" hidden="1" customHeight="1" x14ac:dyDescent="0.2">
      <c r="A106" s="32">
        <f t="shared" si="11"/>
        <v>2013</v>
      </c>
      <c r="B106" s="33" t="s">
        <v>13</v>
      </c>
      <c r="C106" s="78">
        <f>Indeks!H107</f>
        <v>109.18852485490916</v>
      </c>
      <c r="D106" s="148">
        <f t="shared" si="9"/>
        <v>1.6617078970487093E-3</v>
      </c>
      <c r="E106" s="148"/>
      <c r="F106" s="148"/>
      <c r="G106" s="148"/>
      <c r="H106" s="78"/>
    </row>
    <row r="107" spans="1:8" ht="13.5" hidden="1" customHeight="1" x14ac:dyDescent="0.2">
      <c r="A107" s="63">
        <f t="shared" si="11"/>
        <v>2013</v>
      </c>
      <c r="B107" s="64" t="s">
        <v>14</v>
      </c>
      <c r="C107" s="139">
        <f>Indeks!H108</f>
        <v>109.60588031131111</v>
      </c>
      <c r="D107" s="91">
        <f t="shared" si="9"/>
        <v>3.8223380795421127E-3</v>
      </c>
      <c r="E107" s="91">
        <f>(SUM(C105:C107)-SUM(C102:C104))/SUM(C102:C104)</f>
        <v>-7.6086862797830862E-4</v>
      </c>
      <c r="F107" s="91"/>
      <c r="G107" s="91"/>
      <c r="H107" s="139"/>
    </row>
    <row r="108" spans="1:8" ht="13.5" hidden="1" customHeight="1" x14ac:dyDescent="0.2">
      <c r="A108" s="70">
        <f t="shared" si="11"/>
        <v>2013</v>
      </c>
      <c r="B108" s="71" t="s">
        <v>15</v>
      </c>
      <c r="C108" s="76">
        <f>Indeks!H109</f>
        <v>109.84851052508078</v>
      </c>
      <c r="D108" s="148">
        <f t="shared" si="9"/>
        <v>2.2136605543474053E-3</v>
      </c>
      <c r="E108" s="151"/>
      <c r="F108" s="151"/>
      <c r="G108" s="151"/>
      <c r="H108" s="76"/>
    </row>
    <row r="109" spans="1:8" ht="13.5" hidden="1" customHeight="1" x14ac:dyDescent="0.2">
      <c r="A109" s="32">
        <f t="shared" si="11"/>
        <v>2013</v>
      </c>
      <c r="B109" s="33" t="s">
        <v>16</v>
      </c>
      <c r="C109" s="78">
        <f>Indeks!H110</f>
        <v>110.34369278648441</v>
      </c>
      <c r="D109" s="148">
        <f t="shared" si="9"/>
        <v>4.5078650501188785E-3</v>
      </c>
      <c r="E109" s="148"/>
      <c r="F109" s="148"/>
      <c r="G109" s="148"/>
      <c r="H109" s="78"/>
    </row>
    <row r="110" spans="1:8" ht="13.5" hidden="1" customHeight="1" thickBot="1" x14ac:dyDescent="0.25">
      <c r="A110" s="72">
        <f t="shared" si="11"/>
        <v>2013</v>
      </c>
      <c r="B110" s="73" t="s">
        <v>17</v>
      </c>
      <c r="C110" s="135">
        <f>Indeks!H111</f>
        <v>109.90920777464092</v>
      </c>
      <c r="D110" s="138">
        <f t="shared" si="9"/>
        <v>-3.9375609141903802E-3</v>
      </c>
      <c r="E110" s="148">
        <f>(SUM(C108:C110)-SUM(C105:C107))/SUM(C105:C107)</f>
        <v>7.0152743485609121E-3</v>
      </c>
      <c r="F110" s="148">
        <f>(SUM(C105:C110)-SUM(C99:C104))/SUM(C99:C104)</f>
        <v>2.8393290349075133E-3</v>
      </c>
      <c r="G110" s="148">
        <f>(SUM(C99:C110)-SUM(C87:C98))/SUM(C87:C98)</f>
        <v>5.9491453862735005E-3</v>
      </c>
      <c r="H110" s="135">
        <f>(C99+C100+C101+C102+C103+C104+C105+C106+C107+C108+C109+C110)/12</f>
        <v>109.49530754497442</v>
      </c>
    </row>
    <row r="111" spans="1:8" ht="13.5" hidden="1" customHeight="1" x14ac:dyDescent="0.2">
      <c r="A111" s="74">
        <v>2014</v>
      </c>
      <c r="B111" s="33" t="s">
        <v>7</v>
      </c>
      <c r="C111" s="78">
        <f>Indeks!H112</f>
        <v>109.44285671614632</v>
      </c>
      <c r="D111" s="148">
        <f t="shared" ref="D111:D122" si="12">(C111-C110)/C110</f>
        <v>-4.2430572282060918E-3</v>
      </c>
      <c r="E111" s="156"/>
      <c r="F111" s="156"/>
      <c r="G111" s="156"/>
      <c r="H111" s="78"/>
    </row>
    <row r="112" spans="1:8" ht="13.5" hidden="1" customHeight="1" x14ac:dyDescent="0.2">
      <c r="A112" s="32">
        <f>A111</f>
        <v>2014</v>
      </c>
      <c r="B112" s="33" t="s">
        <v>8</v>
      </c>
      <c r="C112" s="78">
        <f>Indeks!H113</f>
        <v>109.6814511318544</v>
      </c>
      <c r="D112" s="148">
        <f t="shared" si="12"/>
        <v>2.1800821256603609E-3</v>
      </c>
      <c r="E112" s="148"/>
      <c r="F112" s="148"/>
      <c r="G112" s="148"/>
      <c r="H112" s="78"/>
    </row>
    <row r="113" spans="1:8" ht="13.5" hidden="1" customHeight="1" x14ac:dyDescent="0.2">
      <c r="A113" s="63">
        <f t="shared" ref="A113:A122" si="13">A112</f>
        <v>2014</v>
      </c>
      <c r="B113" s="64" t="s">
        <v>9</v>
      </c>
      <c r="C113" s="139">
        <f>Indeks!H114</f>
        <v>109.41882712501318</v>
      </c>
      <c r="D113" s="91">
        <f t="shared" si="12"/>
        <v>-2.394424983724058E-3</v>
      </c>
      <c r="E113" s="91">
        <f>(SUM(C111:C113)-SUM(C108:C110))/SUM(C108:C110)</f>
        <v>-4.7205981581981788E-3</v>
      </c>
      <c r="F113" s="91"/>
      <c r="G113" s="91"/>
      <c r="H113" s="139"/>
    </row>
    <row r="114" spans="1:8" ht="13.5" hidden="1" customHeight="1" x14ac:dyDescent="0.2">
      <c r="A114" s="70">
        <f t="shared" si="13"/>
        <v>2014</v>
      </c>
      <c r="B114" s="71" t="s">
        <v>10</v>
      </c>
      <c r="C114" s="76">
        <f>Indeks!H115</f>
        <v>109.7985019237603</v>
      </c>
      <c r="D114" s="148">
        <f t="shared" si="12"/>
        <v>3.4699220300847483E-3</v>
      </c>
      <c r="E114" s="151"/>
      <c r="F114" s="151"/>
      <c r="G114" s="151"/>
      <c r="H114" s="76"/>
    </row>
    <row r="115" spans="1:8" ht="13.5" hidden="1" customHeight="1" x14ac:dyDescent="0.2">
      <c r="A115" s="32">
        <f t="shared" si="13"/>
        <v>2014</v>
      </c>
      <c r="B115" s="33" t="s">
        <v>11</v>
      </c>
      <c r="C115" s="78">
        <f>Indeks!H116</f>
        <v>109.63274323931731</v>
      </c>
      <c r="D115" s="148">
        <f t="shared" si="12"/>
        <v>-1.5096625321726856E-3</v>
      </c>
      <c r="E115" s="148"/>
      <c r="F115" s="148"/>
      <c r="G115" s="148"/>
      <c r="H115" s="78"/>
    </row>
    <row r="116" spans="1:8" ht="13.5" hidden="1" customHeight="1" x14ac:dyDescent="0.2">
      <c r="A116" s="63">
        <f t="shared" si="13"/>
        <v>2014</v>
      </c>
      <c r="B116" s="64" t="s">
        <v>12</v>
      </c>
      <c r="C116" s="139">
        <f>Indeks!H117</f>
        <v>109.47986993556179</v>
      </c>
      <c r="D116" s="91">
        <f t="shared" si="12"/>
        <v>-1.3944128299499508E-3</v>
      </c>
      <c r="E116" s="91">
        <f>(SUM(C114:C116)-SUM(C111:C113))/SUM(C111:C113)</f>
        <v>1.120035960135659E-3</v>
      </c>
      <c r="F116" s="91">
        <f>(SUM(C111:C116)-SUM(C105:C110))/SUM(C105:C110)</f>
        <v>-6.8239917210854268E-4</v>
      </c>
      <c r="G116" s="91"/>
      <c r="H116" s="139"/>
    </row>
    <row r="117" spans="1:8" ht="13.5" hidden="1" customHeight="1" x14ac:dyDescent="0.2">
      <c r="A117" s="70">
        <f t="shared" si="13"/>
        <v>2014</v>
      </c>
      <c r="B117" s="75" t="s">
        <v>30</v>
      </c>
      <c r="C117" s="76">
        <f>Indeks!H118</f>
        <v>109.43855060393879</v>
      </c>
      <c r="D117" s="151">
        <f t="shared" si="12"/>
        <v>-3.7741487679260723E-4</v>
      </c>
      <c r="E117" s="151"/>
      <c r="F117" s="151"/>
      <c r="G117" s="151"/>
      <c r="H117" s="76"/>
    </row>
    <row r="118" spans="1:8" ht="13.5" hidden="1" customHeight="1" x14ac:dyDescent="0.2">
      <c r="A118" s="32">
        <f t="shared" si="13"/>
        <v>2014</v>
      </c>
      <c r="B118" s="33" t="s">
        <v>13</v>
      </c>
      <c r="C118" s="78">
        <f>Indeks!H119</f>
        <v>109.6545048519073</v>
      </c>
      <c r="D118" s="148">
        <f t="shared" si="12"/>
        <v>1.9732922884738852E-3</v>
      </c>
      <c r="E118" s="148"/>
      <c r="F118" s="148"/>
      <c r="G118" s="148"/>
      <c r="H118" s="78"/>
    </row>
    <row r="119" spans="1:8" ht="13.5" hidden="1" customHeight="1" x14ac:dyDescent="0.2">
      <c r="A119" s="63">
        <f t="shared" si="13"/>
        <v>2014</v>
      </c>
      <c r="B119" s="64" t="s">
        <v>14</v>
      </c>
      <c r="C119" s="139">
        <f>Indeks!H120</f>
        <v>109.46041207580026</v>
      </c>
      <c r="D119" s="91">
        <f t="shared" si="12"/>
        <v>-1.7700392370488664E-3</v>
      </c>
      <c r="E119" s="91">
        <f>(SUM(C117:C119)-SUM(C114:C116))/SUM(C114:C116)</f>
        <v>-1.0873684426439122E-3</v>
      </c>
      <c r="F119" s="91"/>
      <c r="G119" s="91"/>
      <c r="H119" s="139"/>
    </row>
    <row r="120" spans="1:8" ht="13.5" hidden="1" customHeight="1" x14ac:dyDescent="0.2">
      <c r="A120" s="70">
        <f t="shared" si="13"/>
        <v>2014</v>
      </c>
      <c r="B120" s="71" t="s">
        <v>15</v>
      </c>
      <c r="C120" s="76">
        <f>Indeks!H121</f>
        <v>109.67258252792017</v>
      </c>
      <c r="D120" s="148">
        <f t="shared" si="12"/>
        <v>1.938330471229913E-3</v>
      </c>
      <c r="E120" s="151"/>
      <c r="F120" s="151"/>
      <c r="G120" s="151"/>
      <c r="H120" s="76"/>
    </row>
    <row r="121" spans="1:8" ht="13.5" hidden="1" customHeight="1" x14ac:dyDescent="0.2">
      <c r="A121" s="32">
        <f t="shared" si="13"/>
        <v>2014</v>
      </c>
      <c r="B121" s="33" t="s">
        <v>16</v>
      </c>
      <c r="C121" s="78">
        <f>Indeks!H122</f>
        <v>109.46534073069375</v>
      </c>
      <c r="D121" s="148">
        <f t="shared" si="12"/>
        <v>-1.8896408970186978E-3</v>
      </c>
      <c r="E121" s="148"/>
      <c r="F121" s="148"/>
      <c r="G121" s="148"/>
      <c r="H121" s="78"/>
    </row>
    <row r="122" spans="1:8" ht="13.5" hidden="1" customHeight="1" thickBot="1" x14ac:dyDescent="0.25">
      <c r="A122" s="72">
        <f t="shared" si="13"/>
        <v>2014</v>
      </c>
      <c r="B122" s="73" t="s">
        <v>17</v>
      </c>
      <c r="C122" s="135">
        <f>Indeks!H123</f>
        <v>108.97563640985736</v>
      </c>
      <c r="D122" s="138">
        <f t="shared" si="12"/>
        <v>-4.4736015762392245E-3</v>
      </c>
      <c r="E122" s="138">
        <f>(SUM(C120:C122)-SUM(C117:C119))/SUM(C117:C119)</f>
        <v>-1.3389232093028488E-3</v>
      </c>
      <c r="F122" s="138">
        <f>(SUM(C117:C122)-SUM(C111:C116))/SUM(C111:C116)</f>
        <v>-1.1973804587164043E-3</v>
      </c>
      <c r="G122" s="138">
        <f>(SUM(C111:C122)-SUM(C99:C110))/SUM(C99:C110)</f>
        <v>1.3515551188105187E-4</v>
      </c>
      <c r="H122" s="135">
        <f>(C111+C112+C113+C114+C115+C116+C117+C118+C119+C120+C121+C122)/12</f>
        <v>109.51010643931424</v>
      </c>
    </row>
    <row r="123" spans="1:8" ht="13.5" hidden="1" customHeight="1" x14ac:dyDescent="0.2">
      <c r="A123" s="87">
        <v>2015</v>
      </c>
      <c r="B123" s="88" t="s">
        <v>7</v>
      </c>
      <c r="C123" s="140">
        <f>Indeks!H124</f>
        <v>109.07811607227877</v>
      </c>
      <c r="D123" s="156">
        <f t="shared" ref="D123:D134" si="14">(C123-C122)/C122</f>
        <v>9.4039058451551643E-4</v>
      </c>
      <c r="E123" s="156"/>
      <c r="F123" s="156"/>
      <c r="G123" s="156"/>
      <c r="H123" s="140"/>
    </row>
    <row r="124" spans="1:8" ht="13.5" hidden="1" customHeight="1" x14ac:dyDescent="0.2">
      <c r="A124" s="32">
        <f>A123</f>
        <v>2015</v>
      </c>
      <c r="B124" s="33" t="s">
        <v>8</v>
      </c>
      <c r="C124" s="78">
        <f>Indeks!H125</f>
        <v>108.98097299894008</v>
      </c>
      <c r="D124" s="148">
        <f t="shared" si="14"/>
        <v>-8.9058261030406239E-4</v>
      </c>
      <c r="E124" s="148"/>
      <c r="F124" s="148"/>
      <c r="G124" s="148"/>
      <c r="H124" s="78"/>
    </row>
    <row r="125" spans="1:8" ht="13.5" hidden="1" customHeight="1" x14ac:dyDescent="0.2">
      <c r="A125" s="63">
        <f t="shared" ref="A125:A134" si="15">A124</f>
        <v>2015</v>
      </c>
      <c r="B125" s="64" t="s">
        <v>9</v>
      </c>
      <c r="C125" s="139">
        <f>Indeks!H126</f>
        <v>107.9798481953391</v>
      </c>
      <c r="D125" s="91">
        <f t="shared" si="14"/>
        <v>-9.1862347715569569E-3</v>
      </c>
      <c r="E125" s="91">
        <f>(SUM(C123:C125)-SUM(C120:C122))/SUM(C120:C122)</f>
        <v>-6.3228792007545146E-3</v>
      </c>
      <c r="F125" s="91"/>
      <c r="G125" s="91"/>
      <c r="H125" s="139"/>
    </row>
    <row r="126" spans="1:8" ht="13.5" hidden="1" customHeight="1" x14ac:dyDescent="0.2">
      <c r="A126" s="32">
        <f t="shared" si="15"/>
        <v>2015</v>
      </c>
      <c r="B126" s="33" t="s">
        <v>10</v>
      </c>
      <c r="C126" s="78">
        <f>Indeks!H127</f>
        <v>108.91171200004879</v>
      </c>
      <c r="D126" s="148">
        <f t="shared" si="14"/>
        <v>8.6299788366429285E-3</v>
      </c>
      <c r="E126" s="148"/>
      <c r="F126" s="148"/>
      <c r="G126" s="148"/>
      <c r="H126" s="78"/>
    </row>
    <row r="127" spans="1:8" ht="13.5" hidden="1" customHeight="1" x14ac:dyDescent="0.2">
      <c r="A127" s="32">
        <f t="shared" si="15"/>
        <v>2015</v>
      </c>
      <c r="B127" s="33" t="s">
        <v>11</v>
      </c>
      <c r="C127" s="78">
        <f>Indeks!H128</f>
        <v>108.83956739281491</v>
      </c>
      <c r="D127" s="148">
        <f t="shared" si="14"/>
        <v>-6.6241367350692638E-4</v>
      </c>
      <c r="E127" s="148"/>
      <c r="F127" s="148"/>
      <c r="G127" s="148"/>
      <c r="H127" s="78"/>
    </row>
    <row r="128" spans="1:8" ht="13.5" hidden="1" customHeight="1" x14ac:dyDescent="0.2">
      <c r="A128" s="63">
        <f t="shared" si="15"/>
        <v>2015</v>
      </c>
      <c r="B128" s="64" t="s">
        <v>12</v>
      </c>
      <c r="C128" s="139">
        <f>Indeks!H129</f>
        <v>109.0558022295948</v>
      </c>
      <c r="D128" s="91">
        <f t="shared" si="14"/>
        <v>1.9867300280556307E-3</v>
      </c>
      <c r="E128" s="91">
        <f>(SUM(C126:C128)-SUM(C123:C125))/SUM(C123:C125)</f>
        <v>2.355989632221472E-3</v>
      </c>
      <c r="F128" s="91">
        <f>(SUM(C123:C128)-SUM(C117:C122))/SUM(C117:C122)</f>
        <v>-5.8187911876632714E-3</v>
      </c>
      <c r="G128" s="91"/>
      <c r="H128" s="139"/>
    </row>
    <row r="129" spans="1:8" ht="13.5" hidden="1" customHeight="1" x14ac:dyDescent="0.2">
      <c r="A129" s="70">
        <f t="shared" si="15"/>
        <v>2015</v>
      </c>
      <c r="B129" s="75" t="s">
        <v>30</v>
      </c>
      <c r="C129" s="76">
        <f>Indeks!H130</f>
        <v>109.19575213815459</v>
      </c>
      <c r="D129" s="151">
        <f t="shared" si="14"/>
        <v>1.2832871401482081E-3</v>
      </c>
      <c r="E129" s="151"/>
      <c r="F129" s="151"/>
      <c r="G129" s="151"/>
      <c r="H129" s="76"/>
    </row>
    <row r="130" spans="1:8" ht="13.5" hidden="1" customHeight="1" x14ac:dyDescent="0.2">
      <c r="A130" s="32">
        <f t="shared" si="15"/>
        <v>2015</v>
      </c>
      <c r="B130" s="33" t="s">
        <v>13</v>
      </c>
      <c r="C130" s="78">
        <f>Indeks!H131</f>
        <v>109.36207147735003</v>
      </c>
      <c r="D130" s="148">
        <f t="shared" si="14"/>
        <v>1.5231301212616035E-3</v>
      </c>
      <c r="E130" s="148"/>
      <c r="F130" s="148"/>
      <c r="G130" s="148"/>
      <c r="H130" s="78"/>
    </row>
    <row r="131" spans="1:8" ht="13.5" hidden="1" customHeight="1" x14ac:dyDescent="0.2">
      <c r="A131" s="63">
        <f t="shared" si="15"/>
        <v>2015</v>
      </c>
      <c r="B131" s="64" t="s">
        <v>14</v>
      </c>
      <c r="C131" s="139">
        <f>Indeks!H132</f>
        <v>109.28517809650209</v>
      </c>
      <c r="D131" s="91">
        <f t="shared" si="14"/>
        <v>-7.0310830628203677E-4</v>
      </c>
      <c r="E131" s="91">
        <f>(SUM(C129:C131)-SUM(C126:C128))/SUM(C126:C128)</f>
        <v>3.1698214261615611E-3</v>
      </c>
      <c r="F131" s="91"/>
      <c r="G131" s="91"/>
      <c r="H131" s="139"/>
    </row>
    <row r="132" spans="1:8" ht="13.5" hidden="1" customHeight="1" x14ac:dyDescent="0.2">
      <c r="A132" s="32">
        <f t="shared" si="15"/>
        <v>2015</v>
      </c>
      <c r="B132" s="33" t="s">
        <v>15</v>
      </c>
      <c r="C132" s="78">
        <f>Indeks!H133</f>
        <v>109.37668198369656</v>
      </c>
      <c r="D132" s="148">
        <f t="shared" si="14"/>
        <v>8.3729457908429672E-4</v>
      </c>
      <c r="E132" s="148"/>
      <c r="F132" s="148"/>
      <c r="G132" s="148"/>
      <c r="H132" s="78"/>
    </row>
    <row r="133" spans="1:8" ht="13.5" hidden="1" customHeight="1" x14ac:dyDescent="0.2">
      <c r="A133" s="32">
        <f t="shared" si="15"/>
        <v>2015</v>
      </c>
      <c r="B133" s="33" t="s">
        <v>16</v>
      </c>
      <c r="C133" s="78">
        <f>Indeks!H134</f>
        <v>109.31749714337964</v>
      </c>
      <c r="D133" s="148">
        <f t="shared" si="14"/>
        <v>-5.4111021877349121E-4</v>
      </c>
      <c r="E133" s="148"/>
      <c r="F133" s="148"/>
      <c r="G133" s="148"/>
      <c r="H133" s="78"/>
    </row>
    <row r="134" spans="1:8" ht="13.5" hidden="1" customHeight="1" thickBot="1" x14ac:dyDescent="0.25">
      <c r="A134" s="63">
        <f t="shared" si="15"/>
        <v>2015</v>
      </c>
      <c r="B134" s="64" t="s">
        <v>17</v>
      </c>
      <c r="C134" s="139">
        <f>Indeks!H135</f>
        <v>109.04683543273333</v>
      </c>
      <c r="D134" s="91">
        <f t="shared" si="14"/>
        <v>-2.4759230472621557E-3</v>
      </c>
      <c r="E134" s="91">
        <f>(SUM(C132:C134)-SUM(C129:C131))/SUM(C129:C131)</f>
        <v>-3.1108534165622583E-4</v>
      </c>
      <c r="F134" s="91">
        <f>(SUM(C129:C134)-SUM(C123:C128))/SUM(C123:C128)</f>
        <v>4.1939405366355591E-3</v>
      </c>
      <c r="G134" s="91">
        <f>(SUM(C123:C134)-SUM(C111:C122))/SUM(C111:C122)</f>
        <v>-4.3308347634045839E-3</v>
      </c>
      <c r="H134" s="139">
        <f>(C123+C124+C125+C126+C127+C128+C129+C130+C131+C132+C133+C134)/12</f>
        <v>109.03583626340271</v>
      </c>
    </row>
    <row r="135" spans="1:8" ht="13.5" hidden="1" customHeight="1" x14ac:dyDescent="0.2">
      <c r="A135" s="74">
        <v>2016</v>
      </c>
      <c r="B135" s="88" t="s">
        <v>7</v>
      </c>
      <c r="C135" s="140">
        <f>Indeks!H136</f>
        <v>109.00976581046113</v>
      </c>
      <c r="D135" s="156">
        <f t="shared" ref="D135:D146" si="16">(C135-C134)/C134</f>
        <v>-3.3994221038230568E-4</v>
      </c>
      <c r="E135" s="156"/>
      <c r="F135" s="156"/>
      <c r="G135" s="156"/>
      <c r="H135" s="140"/>
    </row>
    <row r="136" spans="1:8" ht="13.5" hidden="1" customHeight="1" x14ac:dyDescent="0.2">
      <c r="A136" s="32">
        <f>A135</f>
        <v>2016</v>
      </c>
      <c r="B136" s="33" t="s">
        <v>8</v>
      </c>
      <c r="C136" s="78">
        <f>Indeks!H137</f>
        <v>108.68390444500064</v>
      </c>
      <c r="D136" s="148">
        <f t="shared" si="16"/>
        <v>-2.989285987707588E-3</v>
      </c>
      <c r="E136" s="148"/>
      <c r="F136" s="148"/>
      <c r="G136" s="148"/>
      <c r="H136" s="78"/>
    </row>
    <row r="137" spans="1:8" ht="13.5" hidden="1" customHeight="1" x14ac:dyDescent="0.2">
      <c r="A137" s="63">
        <f t="shared" ref="A137:A146" si="17">A136</f>
        <v>2016</v>
      </c>
      <c r="B137" s="64" t="s">
        <v>9</v>
      </c>
      <c r="C137" s="139">
        <f>Indeks!H138</f>
        <v>108.24822058897202</v>
      </c>
      <c r="D137" s="91">
        <f t="shared" si="16"/>
        <v>-4.0087247348488033E-3</v>
      </c>
      <c r="E137" s="91">
        <f>(SUM(C135:C137)-SUM(C132:C134))/SUM(C132:C134)</f>
        <v>-5.4894677060548982E-3</v>
      </c>
      <c r="F137" s="91"/>
      <c r="G137" s="91"/>
      <c r="H137" s="139"/>
    </row>
    <row r="138" spans="1:8" ht="13.5" hidden="1" customHeight="1" x14ac:dyDescent="0.2">
      <c r="A138" s="32">
        <f t="shared" si="17"/>
        <v>2016</v>
      </c>
      <c r="B138" s="33" t="s">
        <v>10</v>
      </c>
      <c r="C138" s="78">
        <f>Indeks!H139</f>
        <v>108.0226122571907</v>
      </c>
      <c r="D138" s="148">
        <f t="shared" si="16"/>
        <v>-2.0841758927194844E-3</v>
      </c>
      <c r="E138" s="148"/>
      <c r="F138" s="148"/>
      <c r="G138" s="148"/>
      <c r="H138" s="78"/>
    </row>
    <row r="139" spans="1:8" ht="13.5" hidden="1" customHeight="1" x14ac:dyDescent="0.2">
      <c r="A139" s="32">
        <f t="shared" si="17"/>
        <v>2016</v>
      </c>
      <c r="B139" s="33" t="s">
        <v>11</v>
      </c>
      <c r="C139" s="78">
        <f>Indeks!H140</f>
        <v>107.75935610751506</v>
      </c>
      <c r="D139" s="148">
        <f t="shared" si="16"/>
        <v>-2.4370466902693963E-3</v>
      </c>
      <c r="E139" s="148"/>
      <c r="F139" s="148"/>
      <c r="G139" s="148"/>
      <c r="H139" s="78"/>
    </row>
    <row r="140" spans="1:8" ht="13.5" hidden="1" customHeight="1" x14ac:dyDescent="0.2">
      <c r="A140" s="63">
        <f t="shared" si="17"/>
        <v>2016</v>
      </c>
      <c r="B140" s="64" t="s">
        <v>12</v>
      </c>
      <c r="C140" s="139">
        <f>Indeks!H141</f>
        <v>107.85919045732192</v>
      </c>
      <c r="D140" s="91">
        <f t="shared" si="16"/>
        <v>9.2645644344094811E-4</v>
      </c>
      <c r="E140" s="91">
        <f>(SUM(C138:C140)-SUM(C135:C137))/SUM(C135:C137)</f>
        <v>-7.0587184005266894E-3</v>
      </c>
      <c r="F140" s="91">
        <f>(SUM(C135:C140)-SUM(C129:C134))/SUM(C129:C134)</f>
        <v>-9.1536194544235873E-3</v>
      </c>
      <c r="G140" s="91"/>
      <c r="H140" s="139"/>
    </row>
    <row r="141" spans="1:8" ht="13.5" hidden="1" customHeight="1" x14ac:dyDescent="0.2">
      <c r="A141" s="70">
        <f t="shared" si="17"/>
        <v>2016</v>
      </c>
      <c r="B141" s="75" t="s">
        <v>30</v>
      </c>
      <c r="C141" s="76">
        <f>Indeks!H142</f>
        <v>108.10168910043487</v>
      </c>
      <c r="D141" s="151">
        <f t="shared" si="16"/>
        <v>2.2482891080932528E-3</v>
      </c>
      <c r="E141" s="151"/>
      <c r="F141" s="151"/>
      <c r="G141" s="151"/>
      <c r="H141" s="76"/>
    </row>
    <row r="142" spans="1:8" ht="13.5" hidden="1" customHeight="1" x14ac:dyDescent="0.2">
      <c r="A142" s="32">
        <f t="shared" si="17"/>
        <v>2016</v>
      </c>
      <c r="B142" s="33" t="s">
        <v>13</v>
      </c>
      <c r="C142" s="78">
        <f>Indeks!H143</f>
        <v>108.13380897596195</v>
      </c>
      <c r="D142" s="148">
        <f t="shared" si="16"/>
        <v>2.9712649075487802E-4</v>
      </c>
      <c r="E142" s="148"/>
      <c r="F142" s="148"/>
      <c r="G142" s="148"/>
      <c r="H142" s="78"/>
    </row>
    <row r="143" spans="1:8" ht="13.5" hidden="1" customHeight="1" x14ac:dyDescent="0.2">
      <c r="A143" s="63">
        <f t="shared" si="17"/>
        <v>2016</v>
      </c>
      <c r="B143" s="64" t="s">
        <v>14</v>
      </c>
      <c r="C143" s="139">
        <f>Indeks!H144</f>
        <v>108.15639151743993</v>
      </c>
      <c r="D143" s="91">
        <f t="shared" si="16"/>
        <v>2.0883886077659143E-4</v>
      </c>
      <c r="E143" s="91">
        <f>(SUM(C141:C143)-SUM(C138:C140))/SUM(C138:C140)</f>
        <v>2.319639363984269E-3</v>
      </c>
      <c r="F143" s="91"/>
      <c r="G143" s="91"/>
      <c r="H143" s="139"/>
    </row>
    <row r="144" spans="1:8" ht="13.5" hidden="1" customHeight="1" x14ac:dyDescent="0.2">
      <c r="A144" s="32">
        <f t="shared" si="17"/>
        <v>2016</v>
      </c>
      <c r="B144" s="33" t="s">
        <v>15</v>
      </c>
      <c r="C144" s="78">
        <f>Indeks!H145</f>
        <v>107.8248034436311</v>
      </c>
      <c r="D144" s="148">
        <f t="shared" si="16"/>
        <v>-3.0658204213050446E-3</v>
      </c>
      <c r="E144" s="148"/>
      <c r="F144" s="148"/>
      <c r="G144" s="148"/>
      <c r="H144" s="78"/>
    </row>
    <row r="145" spans="1:8" ht="13.5" hidden="1" customHeight="1" x14ac:dyDescent="0.2">
      <c r="A145" s="32">
        <f t="shared" si="17"/>
        <v>2016</v>
      </c>
      <c r="B145" s="33" t="s">
        <v>16</v>
      </c>
      <c r="C145" s="78">
        <f>Indeks!H146</f>
        <v>107.81638184257569</v>
      </c>
      <c r="D145" s="148">
        <f t="shared" si="16"/>
        <v>-7.8104487895548828E-5</v>
      </c>
      <c r="E145" s="148"/>
      <c r="F145" s="148"/>
      <c r="G145" s="148"/>
      <c r="H145" s="78"/>
    </row>
    <row r="146" spans="1:8" ht="13.5" hidden="1" customHeight="1" thickBot="1" x14ac:dyDescent="0.25">
      <c r="A146" s="72">
        <f t="shared" si="17"/>
        <v>2016</v>
      </c>
      <c r="B146" s="73" t="s">
        <v>17</v>
      </c>
      <c r="C146" s="135">
        <f>Indeks!H147</f>
        <v>108.94395443446371</v>
      </c>
      <c r="D146" s="138">
        <f t="shared" si="16"/>
        <v>1.0458267775433207E-2</v>
      </c>
      <c r="E146" s="138">
        <f>(SUM(C144:C146)-SUM(C141:C143))/SUM(C141:C143)</f>
        <v>5.9573045144777103E-4</v>
      </c>
      <c r="F146" s="138">
        <f>(SUM(C141:C146)-SUM(C135:C140))/SUM(C135:C140)</f>
        <v>-9.3293744697514505E-4</v>
      </c>
      <c r="G146" s="138">
        <f>(SUM(C135:C146)-SUM(C123:C134))/SUM(C123:C134)</f>
        <v>-7.5433580051154437E-3</v>
      </c>
      <c r="H146" s="135">
        <f>(C135+C136+C137+C138+C139+C140+C141+C142+C143+C144+C145+C146)/12</f>
        <v>108.21333991508072</v>
      </c>
    </row>
    <row r="147" spans="1:8" ht="13.5" hidden="1" customHeight="1" x14ac:dyDescent="0.2">
      <c r="A147" s="74">
        <v>2017</v>
      </c>
      <c r="B147" s="88" t="s">
        <v>7</v>
      </c>
      <c r="C147" s="140">
        <f>Indeks!H148</f>
        <v>110.03599823288414</v>
      </c>
      <c r="D147" s="156">
        <f t="shared" ref="D147:D158" si="18">(C147-C146)/C146</f>
        <v>1.0023904530447016E-2</v>
      </c>
      <c r="E147" s="156"/>
      <c r="F147" s="156"/>
      <c r="G147" s="156"/>
      <c r="H147" s="140"/>
    </row>
    <row r="148" spans="1:8" ht="13.5" hidden="1" customHeight="1" x14ac:dyDescent="0.2">
      <c r="A148" s="32">
        <f>A147</f>
        <v>2017</v>
      </c>
      <c r="B148" s="33" t="s">
        <v>8</v>
      </c>
      <c r="C148" s="78">
        <f>Indeks!H149</f>
        <v>109.8039872459369</v>
      </c>
      <c r="D148" s="148">
        <f t="shared" si="18"/>
        <v>-2.1085007695046147E-3</v>
      </c>
      <c r="E148" s="148"/>
      <c r="F148" s="148"/>
      <c r="G148" s="148"/>
      <c r="H148" s="78"/>
    </row>
    <row r="149" spans="1:8" ht="13.5" hidden="1" customHeight="1" x14ac:dyDescent="0.2">
      <c r="A149" s="63">
        <f t="shared" ref="A149:A158" si="19">A148</f>
        <v>2017</v>
      </c>
      <c r="B149" s="64" t="s">
        <v>9</v>
      </c>
      <c r="C149" s="139">
        <f>Indeks!H150</f>
        <v>110.48087877700249</v>
      </c>
      <c r="D149" s="91">
        <f t="shared" si="18"/>
        <v>6.1645441849894206E-3</v>
      </c>
      <c r="E149" s="91">
        <f>(SUM(C147:C149)-SUM(C144:C146))/SUM(C144:C146)</f>
        <v>1.7670940019278183E-2</v>
      </c>
      <c r="F149" s="91"/>
      <c r="G149" s="91"/>
      <c r="H149" s="139"/>
    </row>
    <row r="150" spans="1:8" ht="13.5" hidden="1" customHeight="1" x14ac:dyDescent="0.2">
      <c r="A150" s="32">
        <f t="shared" si="19"/>
        <v>2017</v>
      </c>
      <c r="B150" s="33" t="s">
        <v>10</v>
      </c>
      <c r="C150" s="78">
        <f>Indeks!H151</f>
        <v>110.73209897609581</v>
      </c>
      <c r="D150" s="148">
        <f t="shared" si="18"/>
        <v>2.2738794429793992E-3</v>
      </c>
      <c r="E150" s="148"/>
      <c r="F150" s="148"/>
      <c r="G150" s="148"/>
      <c r="H150" s="78"/>
    </row>
    <row r="151" spans="1:8" ht="13.5" hidden="1" customHeight="1" x14ac:dyDescent="0.2">
      <c r="A151" s="32">
        <f t="shared" si="19"/>
        <v>2017</v>
      </c>
      <c r="B151" s="33" t="s">
        <v>11</v>
      </c>
      <c r="C151" s="78">
        <f>Indeks!H152</f>
        <v>109.7930838633258</v>
      </c>
      <c r="D151" s="148">
        <f t="shared" si="18"/>
        <v>-8.4800624340437818E-3</v>
      </c>
      <c r="E151" s="148"/>
      <c r="F151" s="148"/>
      <c r="G151" s="148"/>
      <c r="H151" s="78"/>
    </row>
    <row r="152" spans="1:8" ht="13.5" hidden="1" customHeight="1" x14ac:dyDescent="0.2">
      <c r="A152" s="63">
        <f t="shared" si="19"/>
        <v>2017</v>
      </c>
      <c r="B152" s="64" t="s">
        <v>12</v>
      </c>
      <c r="C152" s="139">
        <f>Indeks!H153</f>
        <v>110.01319597358699</v>
      </c>
      <c r="D152" s="91">
        <f t="shared" si="18"/>
        <v>2.0047903066024333E-3</v>
      </c>
      <c r="E152" s="91">
        <f>(SUM(C150:C152)-SUM(C147:C149))/SUM(C147:C149)</f>
        <v>6.5849475683345271E-4</v>
      </c>
      <c r="F152" s="91">
        <f>(SUM(C147:C152)-SUM(C141:C146))/SUM(C141:C146)</f>
        <v>1.8309143802632991E-2</v>
      </c>
      <c r="G152" s="91"/>
      <c r="H152" s="139"/>
    </row>
    <row r="153" spans="1:8" ht="13.5" hidden="1" customHeight="1" x14ac:dyDescent="0.2">
      <c r="A153" s="70">
        <f t="shared" si="19"/>
        <v>2017</v>
      </c>
      <c r="B153" s="75" t="s">
        <v>30</v>
      </c>
      <c r="C153" s="76">
        <f>Indeks!H154</f>
        <v>110.05247646741529</v>
      </c>
      <c r="D153" s="151">
        <f t="shared" si="18"/>
        <v>3.5705256520073746E-4</v>
      </c>
      <c r="E153" s="151"/>
      <c r="F153" s="151"/>
      <c r="G153" s="151"/>
      <c r="H153" s="76"/>
    </row>
    <row r="154" spans="1:8" ht="13.5" hidden="1" customHeight="1" x14ac:dyDescent="0.2">
      <c r="A154" s="32">
        <f t="shared" si="19"/>
        <v>2017</v>
      </c>
      <c r="B154" s="33" t="s">
        <v>13</v>
      </c>
      <c r="C154" s="78">
        <f>Indeks!H155</f>
        <v>109.86459180314304</v>
      </c>
      <c r="D154" s="148">
        <f t="shared" si="18"/>
        <v>-1.7072279543648072E-3</v>
      </c>
      <c r="E154" s="148"/>
      <c r="F154" s="148"/>
      <c r="G154" s="148"/>
      <c r="H154" s="78"/>
    </row>
    <row r="155" spans="1:8" ht="13.5" hidden="1" customHeight="1" x14ac:dyDescent="0.2">
      <c r="A155" s="63">
        <f t="shared" si="19"/>
        <v>2017</v>
      </c>
      <c r="B155" s="64" t="s">
        <v>14</v>
      </c>
      <c r="C155" s="139">
        <f>Indeks!H156</f>
        <v>109.80110300638839</v>
      </c>
      <c r="D155" s="91">
        <f t="shared" si="18"/>
        <v>-5.7788224315632856E-4</v>
      </c>
      <c r="E155" s="91">
        <f>(SUM(C153:C155)-SUM(C150:C152))/SUM(C150:C152)</f>
        <v>-2.4814290522250163E-3</v>
      </c>
      <c r="F155" s="91"/>
      <c r="G155" s="91"/>
      <c r="H155" s="139"/>
    </row>
    <row r="156" spans="1:8" ht="13.5" hidden="1" customHeight="1" x14ac:dyDescent="0.2">
      <c r="A156" s="32">
        <f t="shared" si="19"/>
        <v>2017</v>
      </c>
      <c r="B156" s="33" t="s">
        <v>15</v>
      </c>
      <c r="C156" s="78">
        <f>Indeks!H157</f>
        <v>110.31450644921124</v>
      </c>
      <c r="D156" s="148">
        <f t="shared" si="18"/>
        <v>4.6757585194110328E-3</v>
      </c>
      <c r="E156" s="148"/>
      <c r="F156" s="148"/>
      <c r="G156" s="148"/>
      <c r="H156" s="78"/>
    </row>
    <row r="157" spans="1:8" ht="13.5" hidden="1" customHeight="1" x14ac:dyDescent="0.2">
      <c r="A157" s="32">
        <f t="shared" si="19"/>
        <v>2017</v>
      </c>
      <c r="B157" s="33" t="s">
        <v>16</v>
      </c>
      <c r="C157" s="78">
        <f>Indeks!H158</f>
        <v>110.61200477026696</v>
      </c>
      <c r="D157" s="148">
        <f t="shared" si="18"/>
        <v>2.6968195809559739E-3</v>
      </c>
      <c r="E157" s="148"/>
      <c r="F157" s="148"/>
      <c r="G157" s="148"/>
      <c r="H157" s="78"/>
    </row>
    <row r="158" spans="1:8" ht="13.5" hidden="1" customHeight="1" thickBot="1" x14ac:dyDescent="0.25">
      <c r="A158" s="72">
        <f t="shared" si="19"/>
        <v>2017</v>
      </c>
      <c r="B158" s="73" t="s">
        <v>17</v>
      </c>
      <c r="C158" s="135">
        <f>Indeks!H159</f>
        <v>110.93781445534064</v>
      </c>
      <c r="D158" s="138">
        <f t="shared" si="18"/>
        <v>2.9455183074419636E-3</v>
      </c>
      <c r="E158" s="138">
        <f>(SUM(C156:C158)-SUM(C153:C155))/SUM(C153:C155)</f>
        <v>6.5090570821753771E-3</v>
      </c>
      <c r="F158" s="138">
        <f>(SUM(C153:C158)-SUM(C147:C152))/SUM(C147:C152)</f>
        <v>1.0944144165630535E-3</v>
      </c>
      <c r="G158" s="138">
        <f>(SUM(C147:C158)-SUM(C135:C146))/SUM(C135:C146)</f>
        <v>1.8390878809681405E-2</v>
      </c>
      <c r="H158" s="135">
        <f>(C147+C148+C149+C150+C151+C152+C153+C154+C155+C156+C157+C158)/12</f>
        <v>110.20347833504984</v>
      </c>
    </row>
    <row r="159" spans="1:8" ht="13.5" hidden="1" customHeight="1" x14ac:dyDescent="0.2">
      <c r="A159" s="253">
        <v>2018</v>
      </c>
      <c r="B159" s="283" t="s">
        <v>7</v>
      </c>
      <c r="C159" s="282">
        <f>Indeks!H160</f>
        <v>111.73829561161403</v>
      </c>
      <c r="D159" s="284">
        <f t="shared" ref="D159:D170" si="20">(C159-C158)/C158</f>
        <v>7.2155843361745272E-3</v>
      </c>
      <c r="E159" s="284"/>
      <c r="F159" s="284"/>
      <c r="G159" s="284"/>
      <c r="H159" s="282"/>
    </row>
    <row r="160" spans="1:8" ht="13.5" hidden="1" customHeight="1" x14ac:dyDescent="0.2">
      <c r="A160" s="255">
        <f>A159</f>
        <v>2018</v>
      </c>
      <c r="B160" s="252" t="s">
        <v>8</v>
      </c>
      <c r="C160" s="285">
        <f>Indeks!H161</f>
        <v>111.86195735980959</v>
      </c>
      <c r="D160" s="286">
        <f t="shared" si="20"/>
        <v>1.1067087386529434E-3</v>
      </c>
      <c r="E160" s="286"/>
      <c r="F160" s="286"/>
      <c r="G160" s="286"/>
      <c r="H160" s="285"/>
    </row>
    <row r="161" spans="1:8" ht="13.5" hidden="1" customHeight="1" x14ac:dyDescent="0.2">
      <c r="A161" s="256">
        <f t="shared" ref="A161:A170" si="21">A160</f>
        <v>2018</v>
      </c>
      <c r="B161" s="257" t="s">
        <v>9</v>
      </c>
      <c r="C161" s="287">
        <f>Indeks!H162</f>
        <v>111.73473643078437</v>
      </c>
      <c r="D161" s="288">
        <f t="shared" si="20"/>
        <v>-1.1373029046507317E-3</v>
      </c>
      <c r="E161" s="288">
        <f>(SUM(C159:C161)-SUM(C156:C158))/SUM(C156:C158)</f>
        <v>1.0458080181808891E-2</v>
      </c>
      <c r="F161" s="288"/>
      <c r="G161" s="288"/>
      <c r="H161" s="287"/>
    </row>
    <row r="162" spans="1:8" ht="13.5" hidden="1" customHeight="1" x14ac:dyDescent="0.2">
      <c r="A162" s="255">
        <f t="shared" si="21"/>
        <v>2018</v>
      </c>
      <c r="B162" s="289" t="s">
        <v>10</v>
      </c>
      <c r="C162" s="285">
        <f>Indeks!H163</f>
        <v>112.34549535688745</v>
      </c>
      <c r="D162" s="286">
        <f t="shared" si="20"/>
        <v>5.4661508642071324E-3</v>
      </c>
      <c r="E162" s="286"/>
      <c r="F162" s="286"/>
      <c r="G162" s="286"/>
      <c r="H162" s="285"/>
    </row>
    <row r="163" spans="1:8" ht="13.5" hidden="1" customHeight="1" x14ac:dyDescent="0.2">
      <c r="A163" s="259">
        <f t="shared" si="21"/>
        <v>2018</v>
      </c>
      <c r="B163" s="254" t="s">
        <v>11</v>
      </c>
      <c r="C163" s="290">
        <f>Indeks!H164</f>
        <v>113.60919706398538</v>
      </c>
      <c r="D163" s="291">
        <f t="shared" si="20"/>
        <v>1.1248352264445734E-2</v>
      </c>
      <c r="E163" s="291"/>
      <c r="F163" s="291"/>
      <c r="G163" s="291"/>
      <c r="H163" s="290"/>
    </row>
    <row r="164" spans="1:8" ht="13.5" hidden="1" customHeight="1" x14ac:dyDescent="0.2">
      <c r="A164" s="263">
        <f t="shared" si="21"/>
        <v>2018</v>
      </c>
      <c r="B164" s="292" t="s">
        <v>12</v>
      </c>
      <c r="C164" s="293">
        <f>Indeks!H165</f>
        <v>112.62534485819357</v>
      </c>
      <c r="D164" s="294">
        <f t="shared" si="20"/>
        <v>-8.659969713875313E-3</v>
      </c>
      <c r="E164" s="294">
        <f>(SUM(C162:C164)-SUM(C159:C161))/SUM(C159:C161)</f>
        <v>9.6770333529562387E-3</v>
      </c>
      <c r="F164" s="294">
        <f>(SUM(C159:C164)-SUM(C153:C158))/SUM(C153:C158)</f>
        <v>1.8640955264582714E-2</v>
      </c>
      <c r="G164" s="294"/>
      <c r="H164" s="293"/>
    </row>
    <row r="165" spans="1:8" ht="13.5" hidden="1" customHeight="1" x14ac:dyDescent="0.2">
      <c r="A165" s="264">
        <f t="shared" si="21"/>
        <v>2018</v>
      </c>
      <c r="B165" s="265" t="s">
        <v>30</v>
      </c>
      <c r="C165" s="295">
        <f>Indeks!H166</f>
        <v>113.27407956334169</v>
      </c>
      <c r="D165" s="296">
        <f t="shared" si="20"/>
        <v>5.760112929864376E-3</v>
      </c>
      <c r="E165" s="296"/>
      <c r="F165" s="296"/>
      <c r="G165" s="296"/>
      <c r="H165" s="295"/>
    </row>
    <row r="166" spans="1:8" ht="13.5" hidden="1" customHeight="1" x14ac:dyDescent="0.2">
      <c r="A166" s="255">
        <f t="shared" si="21"/>
        <v>2018</v>
      </c>
      <c r="B166" s="297" t="s">
        <v>13</v>
      </c>
      <c r="C166" s="285">
        <f>Indeks!H167</f>
        <v>113.20724512700838</v>
      </c>
      <c r="D166" s="286">
        <f t="shared" si="20"/>
        <v>-5.9002409545897902E-4</v>
      </c>
      <c r="E166" s="286"/>
      <c r="F166" s="286"/>
      <c r="G166" s="286"/>
      <c r="H166" s="285"/>
    </row>
    <row r="167" spans="1:8" ht="13.5" hidden="1" customHeight="1" x14ac:dyDescent="0.2">
      <c r="A167" s="256">
        <f t="shared" si="21"/>
        <v>2018</v>
      </c>
      <c r="B167" s="257" t="s">
        <v>14</v>
      </c>
      <c r="C167" s="287">
        <f>Indeks!H168</f>
        <v>113.45900948211838</v>
      </c>
      <c r="D167" s="288">
        <f t="shared" si="20"/>
        <v>2.2239244036681657E-3</v>
      </c>
      <c r="E167" s="288">
        <f>(SUM(C165:C167)-SUM(C162:C164))/SUM(C162:C164)</f>
        <v>4.017652382384264E-3</v>
      </c>
      <c r="F167" s="288"/>
      <c r="G167" s="288"/>
      <c r="H167" s="287"/>
    </row>
    <row r="168" spans="1:8" ht="13.5" hidden="1" customHeight="1" x14ac:dyDescent="0.2">
      <c r="A168" s="255">
        <f t="shared" si="21"/>
        <v>2018</v>
      </c>
      <c r="B168" s="289" t="s">
        <v>15</v>
      </c>
      <c r="C168" s="285">
        <f>Indeks!H169</f>
        <v>114.7065386829254</v>
      </c>
      <c r="D168" s="286">
        <f t="shared" si="20"/>
        <v>1.0995417697557448E-2</v>
      </c>
      <c r="E168" s="286"/>
      <c r="F168" s="286"/>
      <c r="G168" s="286"/>
      <c r="H168" s="285"/>
    </row>
    <row r="169" spans="1:8" ht="13.5" hidden="1" customHeight="1" x14ac:dyDescent="0.2">
      <c r="A169" s="259">
        <f t="shared" si="21"/>
        <v>2018</v>
      </c>
      <c r="B169" s="254" t="s">
        <v>16</v>
      </c>
      <c r="C169" s="290">
        <f>Indeks!H170</f>
        <v>115.59111178626796</v>
      </c>
      <c r="D169" s="291">
        <f t="shared" si="20"/>
        <v>7.7116188274821825E-3</v>
      </c>
      <c r="E169" s="291"/>
      <c r="F169" s="291"/>
      <c r="G169" s="291"/>
      <c r="H169" s="290"/>
    </row>
    <row r="170" spans="1:8" ht="13.5" hidden="1" customHeight="1" thickBot="1" x14ac:dyDescent="0.25">
      <c r="A170" s="260">
        <f t="shared" si="21"/>
        <v>2018</v>
      </c>
      <c r="B170" s="261" t="s">
        <v>17</v>
      </c>
      <c r="C170" s="298">
        <f>Indeks!H171</f>
        <v>115.18926203989211</v>
      </c>
      <c r="D170" s="299">
        <f t="shared" si="20"/>
        <v>-3.4764761768091598E-3</v>
      </c>
      <c r="E170" s="299">
        <f>(SUM(C168:C170)-SUM(C165:C167))/SUM(C165:C167)</f>
        <v>1.6316329011440645E-2</v>
      </c>
      <c r="F170" s="299">
        <f>(SUM(C165:C170)-SUM(C159:C164))/SUM(C159:C164)</f>
        <v>1.7082598761704381E-2</v>
      </c>
      <c r="G170" s="299">
        <f>(SUM(C159:C170)-SUM(C147:C158))/SUM(C147:C158)</f>
        <v>2.7903333829780354E-2</v>
      </c>
      <c r="H170" s="298">
        <f>(C159+C160+C161+C162+C163+C164+C165+C166+C167+C168+C169+C170)/12</f>
        <v>113.27852278023569</v>
      </c>
    </row>
    <row r="171" spans="1:8" ht="13.5" hidden="1" customHeight="1" x14ac:dyDescent="0.2">
      <c r="A171" s="253">
        <v>2019</v>
      </c>
      <c r="B171" s="283" t="s">
        <v>7</v>
      </c>
      <c r="C171" s="282">
        <f>Indeks!H172</f>
        <v>115.42607177203597</v>
      </c>
      <c r="D171" s="284">
        <f t="shared" ref="D171:D182" si="22">(C171-C170)/C170</f>
        <v>2.0558316630402804E-3</v>
      </c>
      <c r="E171" s="284"/>
      <c r="F171" s="284"/>
      <c r="G171" s="284"/>
      <c r="H171" s="282"/>
    </row>
    <row r="172" spans="1:8" ht="13.5" hidden="1" customHeight="1" x14ac:dyDescent="0.2">
      <c r="A172" s="255">
        <f>A171</f>
        <v>2019</v>
      </c>
      <c r="B172" s="297" t="s">
        <v>8</v>
      </c>
      <c r="C172" s="285">
        <f>Indeks!H173</f>
        <v>115.11914368739293</v>
      </c>
      <c r="D172" s="286">
        <f t="shared" si="22"/>
        <v>-2.6590880199857236E-3</v>
      </c>
      <c r="E172" s="286"/>
      <c r="F172" s="286"/>
      <c r="G172" s="286"/>
      <c r="H172" s="285"/>
    </row>
    <row r="173" spans="1:8" ht="13.5" hidden="1" customHeight="1" x14ac:dyDescent="0.2">
      <c r="A173" s="256">
        <f t="shared" ref="A173:A182" si="23">A172</f>
        <v>2019</v>
      </c>
      <c r="B173" s="257" t="s">
        <v>9</v>
      </c>
      <c r="C173" s="287">
        <f>Indeks!H174</f>
        <v>114.27917367931168</v>
      </c>
      <c r="D173" s="288">
        <f t="shared" si="22"/>
        <v>-7.2965275902520457E-3</v>
      </c>
      <c r="E173" s="288">
        <f>(SUM(C171:C173)-SUM(C168:C170))/SUM(C168:C170)</f>
        <v>-1.9176511362857401E-3</v>
      </c>
      <c r="F173" s="288"/>
      <c r="G173" s="288"/>
      <c r="H173" s="287"/>
    </row>
    <row r="174" spans="1:8" ht="13.5" hidden="1" customHeight="1" x14ac:dyDescent="0.2">
      <c r="A174" s="255">
        <f t="shared" si="23"/>
        <v>2019</v>
      </c>
      <c r="B174" s="297" t="s">
        <v>10</v>
      </c>
      <c r="C174" s="285">
        <f>Indeks!H175</f>
        <v>113.51223506720689</v>
      </c>
      <c r="D174" s="286">
        <f t="shared" si="22"/>
        <v>-6.7110969340482404E-3</v>
      </c>
      <c r="E174" s="286"/>
      <c r="F174" s="286"/>
      <c r="G174" s="286"/>
      <c r="H174" s="285"/>
    </row>
    <row r="175" spans="1:8" ht="13.5" hidden="1" customHeight="1" x14ac:dyDescent="0.2">
      <c r="A175" s="259">
        <f t="shared" si="23"/>
        <v>2019</v>
      </c>
      <c r="B175" s="254" t="s">
        <v>11</v>
      </c>
      <c r="C175" s="290">
        <f>Indeks!H176</f>
        <v>112.91167572486573</v>
      </c>
      <c r="D175" s="291">
        <f t="shared" si="22"/>
        <v>-5.2907014119278443E-3</v>
      </c>
      <c r="E175" s="291"/>
      <c r="F175" s="291"/>
      <c r="G175" s="291"/>
      <c r="H175" s="290"/>
    </row>
    <row r="176" spans="1:8" ht="13.5" hidden="1" customHeight="1" x14ac:dyDescent="0.2">
      <c r="A176" s="350">
        <f t="shared" si="23"/>
        <v>2019</v>
      </c>
      <c r="B176" s="351" t="s">
        <v>12</v>
      </c>
      <c r="C176" s="352">
        <f>Indeks!H177</f>
        <v>112.81443752079188</v>
      </c>
      <c r="D176" s="353">
        <f t="shared" si="22"/>
        <v>-8.6118821149009457E-4</v>
      </c>
      <c r="E176" s="353">
        <f>(SUM(C174:C176)-SUM(C171:C173))/SUM(C171:C173)</f>
        <v>-1.6199668590229904E-2</v>
      </c>
      <c r="F176" s="353">
        <f>(SUM(C171:C176)-SUM(C165:C170))/SUM(C165:C170)</f>
        <v>-1.9907426157261274E-3</v>
      </c>
      <c r="G176" s="353"/>
      <c r="H176" s="352"/>
    </row>
    <row r="177" spans="1:8" ht="13.5" hidden="1" customHeight="1" x14ac:dyDescent="0.2">
      <c r="A177" s="264">
        <f t="shared" si="23"/>
        <v>2019</v>
      </c>
      <c r="B177" s="265" t="s">
        <v>30</v>
      </c>
      <c r="C177" s="295">
        <f>Indeks!H178</f>
        <v>112.43691255692302</v>
      </c>
      <c r="D177" s="296">
        <f t="shared" si="22"/>
        <v>-3.3464242003536687E-3</v>
      </c>
      <c r="E177" s="296"/>
      <c r="F177" s="296"/>
      <c r="G177" s="296"/>
      <c r="H177" s="295"/>
    </row>
    <row r="178" spans="1:8" ht="13.5" hidden="1" customHeight="1" x14ac:dyDescent="0.2">
      <c r="A178" s="255">
        <f t="shared" si="23"/>
        <v>2019</v>
      </c>
      <c r="B178" s="297" t="s">
        <v>13</v>
      </c>
      <c r="C178" s="285">
        <f>Indeks!H179</f>
        <v>111.24180467155286</v>
      </c>
      <c r="D178" s="286">
        <f t="shared" si="22"/>
        <v>-1.0629141784421732E-2</v>
      </c>
      <c r="E178" s="286"/>
      <c r="F178" s="286"/>
      <c r="G178" s="286"/>
      <c r="H178" s="285"/>
    </row>
    <row r="179" spans="1:8" ht="13.5" hidden="1" customHeight="1" x14ac:dyDescent="0.2">
      <c r="A179" s="256">
        <f t="shared" si="23"/>
        <v>2019</v>
      </c>
      <c r="B179" s="257" t="s">
        <v>14</v>
      </c>
      <c r="C179" s="287">
        <f>Indeks!H180</f>
        <v>110.98391164080937</v>
      </c>
      <c r="D179" s="288">
        <f t="shared" si="22"/>
        <v>-2.3183103825484604E-3</v>
      </c>
      <c r="E179" s="288">
        <f>(SUM(C177:C179)-SUM(C174:C176))/SUM(C174:C176)</f>
        <v>-1.3488214013349918E-2</v>
      </c>
      <c r="F179" s="288"/>
      <c r="G179" s="288"/>
      <c r="H179" s="287"/>
    </row>
    <row r="180" spans="1:8" ht="13.5" hidden="1" customHeight="1" x14ac:dyDescent="0.2">
      <c r="A180" s="255">
        <f t="shared" si="23"/>
        <v>2019</v>
      </c>
      <c r="B180" s="297" t="s">
        <v>15</v>
      </c>
      <c r="C180" s="285">
        <f>Indeks!H181</f>
        <v>111.41630323538062</v>
      </c>
      <c r="D180" s="286">
        <f t="shared" si="22"/>
        <v>3.8959844555727882E-3</v>
      </c>
      <c r="E180" s="286"/>
      <c r="F180" s="286"/>
      <c r="G180" s="286"/>
      <c r="H180" s="285"/>
    </row>
    <row r="181" spans="1:8" ht="13.5" hidden="1" customHeight="1" x14ac:dyDescent="0.2">
      <c r="A181" s="259">
        <f t="shared" si="23"/>
        <v>2019</v>
      </c>
      <c r="B181" s="254" t="s">
        <v>16</v>
      </c>
      <c r="C181" s="290">
        <f>Indeks!H182</f>
        <v>111.56126738277636</v>
      </c>
      <c r="D181" s="291">
        <f t="shared" si="22"/>
        <v>1.3011035475614854E-3</v>
      </c>
      <c r="E181" s="291"/>
      <c r="F181" s="291"/>
      <c r="G181" s="291"/>
      <c r="H181" s="290"/>
    </row>
    <row r="182" spans="1:8" ht="13.5" hidden="1" thickBot="1" x14ac:dyDescent="0.25">
      <c r="A182" s="260">
        <f t="shared" si="23"/>
        <v>2019</v>
      </c>
      <c r="B182" s="261" t="s">
        <v>17</v>
      </c>
      <c r="C182" s="298">
        <f>Indeks!H183</f>
        <v>112.02470851518025</v>
      </c>
      <c r="D182" s="299">
        <f t="shared" si="22"/>
        <v>4.1541400817344592E-3</v>
      </c>
      <c r="E182" s="299">
        <f>(SUM(C180:C182)-SUM(C177:C179))/SUM(C177:C179)</f>
        <v>1.0149034721910167E-3</v>
      </c>
      <c r="F182" s="299">
        <f>(SUM(C177:C182)-SUM(C171:C176))/SUM(C171:C176)</f>
        <v>-2.1047527749603855E-2</v>
      </c>
      <c r="G182" s="299">
        <f>(SUM(C171:C182)-SUM(C159:C170))/SUM(C159:C170)</f>
        <v>-4.1304004286653985E-3</v>
      </c>
      <c r="H182" s="298">
        <f>(C171+C172+C173+C174+C175+C176+C177+C178+C179+C180+C181+C182)/12</f>
        <v>112.81063712118562</v>
      </c>
    </row>
    <row r="183" spans="1:8" hidden="1" x14ac:dyDescent="0.2">
      <c r="A183" s="253">
        <v>2020</v>
      </c>
      <c r="B183" s="283" t="s">
        <v>7</v>
      </c>
      <c r="C183" s="282">
        <f>Indeks!H184</f>
        <v>113.61912050659984</v>
      </c>
      <c r="D183" s="284">
        <f t="shared" ref="D183:D194" si="24">(C183-C182)/C182</f>
        <v>1.4232681455301759E-2</v>
      </c>
      <c r="E183" s="284"/>
      <c r="F183" s="284"/>
      <c r="G183" s="284"/>
      <c r="H183" s="282"/>
    </row>
    <row r="184" spans="1:8" hidden="1" x14ac:dyDescent="0.2">
      <c r="A184" s="255">
        <f>A183</f>
        <v>2020</v>
      </c>
      <c r="B184" s="297" t="s">
        <v>8</v>
      </c>
      <c r="C184" s="285">
        <f>Indeks!H185</f>
        <v>113.30956975171864</v>
      </c>
      <c r="D184" s="286">
        <f t="shared" si="24"/>
        <v>-2.7244600512747312E-3</v>
      </c>
      <c r="E184" s="286"/>
      <c r="F184" s="286"/>
      <c r="G184" s="286"/>
      <c r="H184" s="285"/>
    </row>
    <row r="185" spans="1:8" hidden="1" x14ac:dyDescent="0.2">
      <c r="A185" s="256">
        <f t="shared" ref="A185:A194" si="25">A184</f>
        <v>2020</v>
      </c>
      <c r="B185" s="257" t="s">
        <v>9</v>
      </c>
      <c r="C185" s="287">
        <f>Indeks!H186</f>
        <v>112.75565590507269</v>
      </c>
      <c r="D185" s="288">
        <f t="shared" si="24"/>
        <v>-4.8885001316277014E-3</v>
      </c>
      <c r="E185" s="288">
        <f>(SUM(C183:C185)-SUM(C180:C182))/SUM(C180:C182)</f>
        <v>1.3976224407089415E-2</v>
      </c>
      <c r="F185" s="288"/>
      <c r="G185" s="288"/>
      <c r="H185" s="287"/>
    </row>
    <row r="186" spans="1:8" hidden="1" x14ac:dyDescent="0.2">
      <c r="A186" s="255">
        <f t="shared" si="25"/>
        <v>2020</v>
      </c>
      <c r="B186" s="297" t="s">
        <v>10</v>
      </c>
      <c r="C186" s="285">
        <f>Indeks!H187</f>
        <v>112.48687770465564</v>
      </c>
      <c r="D186" s="286">
        <f t="shared" si="24"/>
        <v>-2.3837225570602525E-3</v>
      </c>
      <c r="E186" s="286"/>
      <c r="F186" s="286"/>
      <c r="G186" s="286"/>
      <c r="H186" s="285"/>
    </row>
    <row r="187" spans="1:8" hidden="1" x14ac:dyDescent="0.2">
      <c r="A187" s="259">
        <f t="shared" si="25"/>
        <v>2020</v>
      </c>
      <c r="B187" s="254" t="s">
        <v>11</v>
      </c>
      <c r="C187" s="290">
        <f>Indeks!H188</f>
        <v>112.65674218535659</v>
      </c>
      <c r="D187" s="291">
        <f t="shared" si="24"/>
        <v>1.5100826351225243E-3</v>
      </c>
      <c r="E187" s="291"/>
      <c r="F187" s="291"/>
      <c r="G187" s="291"/>
      <c r="H187" s="290"/>
    </row>
    <row r="188" spans="1:8" hidden="1" x14ac:dyDescent="0.2">
      <c r="A188" s="350">
        <f t="shared" si="25"/>
        <v>2020</v>
      </c>
      <c r="B188" s="351" t="s">
        <v>12</v>
      </c>
      <c r="C188" s="352">
        <f>Indeks!H189</f>
        <v>111.99805472139822</v>
      </c>
      <c r="D188" s="353">
        <f t="shared" si="24"/>
        <v>-5.8468534699380867E-3</v>
      </c>
      <c r="E188" s="353">
        <f>(SUM(C186:C188)-SUM(C183:C185))/SUM(C183:C185)</f>
        <v>-7.4853951343335796E-3</v>
      </c>
      <c r="F188" s="353">
        <f>(SUM(C183:C188)-SUM(C177:C182))/SUM(C177:C182)</f>
        <v>1.0693576274645036E-2</v>
      </c>
      <c r="G188" s="353"/>
      <c r="H188" s="352"/>
    </row>
    <row r="189" spans="1:8" hidden="1" x14ac:dyDescent="0.2">
      <c r="A189" s="264">
        <f t="shared" si="25"/>
        <v>2020</v>
      </c>
      <c r="B189" s="265" t="s">
        <v>30</v>
      </c>
      <c r="C189" s="295">
        <f>Indeks!H190</f>
        <v>111.71797011334438</v>
      </c>
      <c r="D189" s="296">
        <f t="shared" si="24"/>
        <v>-2.5007988643246317E-3</v>
      </c>
      <c r="E189" s="296"/>
      <c r="F189" s="296"/>
      <c r="G189" s="296"/>
      <c r="H189" s="295"/>
    </row>
    <row r="190" spans="1:8" hidden="1" x14ac:dyDescent="0.2">
      <c r="A190" s="255">
        <f t="shared" si="25"/>
        <v>2020</v>
      </c>
      <c r="B190" s="297" t="s">
        <v>13</v>
      </c>
      <c r="C190" s="285">
        <f>Indeks!H191</f>
        <v>111.76899055949252</v>
      </c>
      <c r="D190" s="286">
        <f t="shared" si="24"/>
        <v>4.5668969903749947E-4</v>
      </c>
      <c r="E190" s="286"/>
      <c r="F190" s="286"/>
      <c r="G190" s="286"/>
      <c r="H190" s="285"/>
    </row>
    <row r="191" spans="1:8" hidden="1" x14ac:dyDescent="0.2">
      <c r="A191" s="256">
        <f t="shared" si="25"/>
        <v>2020</v>
      </c>
      <c r="B191" s="257" t="s">
        <v>14</v>
      </c>
      <c r="C191" s="287">
        <f>Indeks!H192</f>
        <v>111.88095802423881</v>
      </c>
      <c r="D191" s="288">
        <f t="shared" si="24"/>
        <v>1.0017757535949799E-3</v>
      </c>
      <c r="E191" s="288">
        <f>(SUM(C189:C191)-SUM(C186:C188))/SUM(C186:C188)</f>
        <v>-5.2611588774338679E-3</v>
      </c>
      <c r="F191" s="288"/>
      <c r="G191" s="288"/>
      <c r="H191" s="287"/>
    </row>
    <row r="192" spans="1:8" hidden="1" x14ac:dyDescent="0.2">
      <c r="A192" s="255">
        <f t="shared" si="25"/>
        <v>2020</v>
      </c>
      <c r="B192" s="297" t="s">
        <v>15</v>
      </c>
      <c r="C192" s="285">
        <f>Indeks!H193</f>
        <v>112.53985240002062</v>
      </c>
      <c r="D192" s="286">
        <f t="shared" si="24"/>
        <v>5.8892450280865899E-3</v>
      </c>
      <c r="E192" s="286"/>
      <c r="F192" s="286"/>
      <c r="G192" s="286"/>
      <c r="H192" s="285"/>
    </row>
    <row r="193" spans="1:8" hidden="1" x14ac:dyDescent="0.2">
      <c r="A193" s="259">
        <f t="shared" si="25"/>
        <v>2020</v>
      </c>
      <c r="B193" s="254" t="s">
        <v>16</v>
      </c>
      <c r="C193" s="290">
        <f>Indeks!H194</f>
        <v>113.40950428503925</v>
      </c>
      <c r="D193" s="291">
        <f t="shared" si="24"/>
        <v>7.7275015603136439E-3</v>
      </c>
      <c r="E193" s="291"/>
      <c r="F193" s="291"/>
      <c r="G193" s="291"/>
      <c r="H193" s="290"/>
    </row>
    <row r="194" spans="1:8" ht="13.5" hidden="1" thickBot="1" x14ac:dyDescent="0.25">
      <c r="A194" s="260">
        <f t="shared" si="25"/>
        <v>2020</v>
      </c>
      <c r="B194" s="261" t="s">
        <v>17</v>
      </c>
      <c r="C194" s="298">
        <f>Indeks!H195</f>
        <v>114.08274928557307</v>
      </c>
      <c r="D194" s="299">
        <f t="shared" si="24"/>
        <v>5.9364072242280158E-3</v>
      </c>
      <c r="E194" s="299">
        <f>(SUM(C192:C194)-SUM(C189:C191))/SUM(C189:C191)</f>
        <v>1.3907672778236698E-2</v>
      </c>
      <c r="F194" s="299">
        <f>(SUM(C189:C194)-SUM(C183:C188))/SUM(C183:C188)</f>
        <v>-2.1068872403289638E-3</v>
      </c>
      <c r="G194" s="299">
        <f>(SUM(C183:C194)-SUM(C171:C182))/SUM(C171:C182)</f>
        <v>-1.1092334686076803E-3</v>
      </c>
      <c r="H194" s="298">
        <f>(C183+C184+C185+C186+C187+C188+C189+C190+C191+C192+C193+C194)/12</f>
        <v>112.68550378687586</v>
      </c>
    </row>
    <row r="195" spans="1:8" hidden="1" x14ac:dyDescent="0.2">
      <c r="A195" s="253">
        <v>2021</v>
      </c>
      <c r="B195" s="283" t="s">
        <v>7</v>
      </c>
      <c r="C195" s="282">
        <f>Indeks!H196</f>
        <v>114.70527067192792</v>
      </c>
      <c r="D195" s="284">
        <f t="shared" ref="D195:D206" si="26">(C195-C194)/C194</f>
        <v>5.4567530170275425E-3</v>
      </c>
      <c r="E195" s="284"/>
      <c r="F195" s="284"/>
      <c r="G195" s="284"/>
      <c r="H195" s="282"/>
    </row>
    <row r="196" spans="1:8" hidden="1" x14ac:dyDescent="0.2">
      <c r="A196" s="255">
        <f>A195</f>
        <v>2021</v>
      </c>
      <c r="B196" s="297" t="s">
        <v>8</v>
      </c>
      <c r="C196" s="285">
        <f>Indeks!H197</f>
        <v>115.08859213775257</v>
      </c>
      <c r="D196" s="286">
        <f t="shared" si="26"/>
        <v>3.341794702015045E-3</v>
      </c>
      <c r="E196" s="286"/>
      <c r="F196" s="286"/>
      <c r="G196" s="286"/>
      <c r="H196" s="285"/>
    </row>
    <row r="197" spans="1:8" hidden="1" x14ac:dyDescent="0.2">
      <c r="A197" s="256">
        <f t="shared" ref="A197:A206" si="27">A196</f>
        <v>2021</v>
      </c>
      <c r="B197" s="257" t="s">
        <v>9</v>
      </c>
      <c r="C197" s="287">
        <f>Indeks!H198</f>
        <v>116.244054532403</v>
      </c>
      <c r="D197" s="288">
        <f t="shared" si="26"/>
        <v>1.0039764786308485E-2</v>
      </c>
      <c r="E197" s="288">
        <f>(SUM(C195:C197)-SUM(C192:C194))/SUM(C192:C194)</f>
        <v>1.7662483236124855E-2</v>
      </c>
      <c r="F197" s="288"/>
      <c r="G197" s="288"/>
      <c r="H197" s="287"/>
    </row>
    <row r="198" spans="1:8" hidden="1" x14ac:dyDescent="0.2">
      <c r="A198" s="255">
        <f t="shared" si="27"/>
        <v>2021</v>
      </c>
      <c r="B198" s="297" t="s">
        <v>10</v>
      </c>
      <c r="C198" s="285">
        <f>Indeks!H199</f>
        <v>116.56980311059205</v>
      </c>
      <c r="D198" s="286">
        <f t="shared" si="26"/>
        <v>2.8022816263540353E-3</v>
      </c>
      <c r="E198" s="286"/>
      <c r="F198" s="286"/>
      <c r="G198" s="286"/>
      <c r="H198" s="285"/>
    </row>
    <row r="199" spans="1:8" hidden="1" x14ac:dyDescent="0.2">
      <c r="A199" s="259">
        <f t="shared" si="27"/>
        <v>2021</v>
      </c>
      <c r="B199" s="254" t="s">
        <v>11</v>
      </c>
      <c r="C199" s="290">
        <f>Indeks!H200</f>
        <v>116.69030533423738</v>
      </c>
      <c r="D199" s="291">
        <f t="shared" si="26"/>
        <v>1.0337344700754867E-3</v>
      </c>
      <c r="E199" s="291"/>
      <c r="F199" s="291"/>
      <c r="G199" s="291"/>
      <c r="H199" s="290"/>
    </row>
    <row r="200" spans="1:8" hidden="1" x14ac:dyDescent="0.2">
      <c r="A200" s="350">
        <f t="shared" si="27"/>
        <v>2021</v>
      </c>
      <c r="B200" s="351" t="s">
        <v>12</v>
      </c>
      <c r="C200" s="352">
        <f>Indeks!H201</f>
        <v>117.40625457350826</v>
      </c>
      <c r="D200" s="353">
        <f t="shared" si="26"/>
        <v>6.1354646148211074E-3</v>
      </c>
      <c r="E200" s="353">
        <f>(SUM(C198:C200)-SUM(C195:C197))/SUM(C195:C197)</f>
        <v>1.337554482989985E-2</v>
      </c>
      <c r="F200" s="353">
        <f>(SUM(C195:C200)-SUM(C189:C194))/SUM(C189:C194)</f>
        <v>3.1543166885719273E-2</v>
      </c>
      <c r="G200" s="353"/>
      <c r="H200" s="352"/>
    </row>
    <row r="201" spans="1:8" hidden="1" x14ac:dyDescent="0.2">
      <c r="A201" s="264">
        <f t="shared" si="27"/>
        <v>2021</v>
      </c>
      <c r="B201" s="265" t="s">
        <v>30</v>
      </c>
      <c r="C201" s="295">
        <f>Indeks!H202</f>
        <v>119.28117163910019</v>
      </c>
      <c r="D201" s="296">
        <f t="shared" si="26"/>
        <v>1.596948197012827E-2</v>
      </c>
      <c r="E201" s="296"/>
      <c r="F201" s="296"/>
      <c r="G201" s="296"/>
      <c r="H201" s="295"/>
    </row>
    <row r="202" spans="1:8" hidden="1" x14ac:dyDescent="0.2">
      <c r="A202" s="255">
        <f t="shared" si="27"/>
        <v>2021</v>
      </c>
      <c r="B202" s="297" t="s">
        <v>13</v>
      </c>
      <c r="C202" s="285">
        <f>Indeks!H203</f>
        <v>120.24548947967779</v>
      </c>
      <c r="D202" s="286">
        <f t="shared" si="26"/>
        <v>8.0844095285654526E-3</v>
      </c>
      <c r="E202" s="286"/>
      <c r="F202" s="286"/>
      <c r="G202" s="286"/>
      <c r="H202" s="285"/>
    </row>
    <row r="203" spans="1:8" hidden="1" x14ac:dyDescent="0.2">
      <c r="A203" s="256">
        <f t="shared" si="27"/>
        <v>2021</v>
      </c>
      <c r="B203" s="257" t="s">
        <v>14</v>
      </c>
      <c r="C203" s="287">
        <f>Indeks!H204</f>
        <v>122.05325438200337</v>
      </c>
      <c r="D203" s="288">
        <f t="shared" si="26"/>
        <v>1.5033951877513963E-2</v>
      </c>
      <c r="E203" s="288">
        <f>(SUM(C201:C203)-SUM(C198:C200))/SUM(C198:C200)</f>
        <v>3.1122324903095858E-2</v>
      </c>
      <c r="F203" s="288"/>
      <c r="G203" s="288"/>
      <c r="H203" s="287"/>
    </row>
    <row r="204" spans="1:8" hidden="1" x14ac:dyDescent="0.2">
      <c r="A204" s="255">
        <f t="shared" si="27"/>
        <v>2021</v>
      </c>
      <c r="B204" s="297" t="s">
        <v>15</v>
      </c>
      <c r="C204" s="285">
        <f>Indeks!H205</f>
        <v>124.8334610302412</v>
      </c>
      <c r="D204" s="286">
        <f t="shared" si="26"/>
        <v>2.2778635951289806E-2</v>
      </c>
      <c r="E204" s="286"/>
      <c r="F204" s="286"/>
      <c r="G204" s="286"/>
      <c r="H204" s="285"/>
    </row>
    <row r="205" spans="1:8" hidden="1" x14ac:dyDescent="0.2">
      <c r="A205" s="259">
        <f t="shared" si="27"/>
        <v>2021</v>
      </c>
      <c r="B205" s="254" t="s">
        <v>16</v>
      </c>
      <c r="C205" s="290">
        <f>Indeks!H206</f>
        <v>130.0871512995032</v>
      </c>
      <c r="D205" s="291">
        <f t="shared" si="26"/>
        <v>4.2085593284874878E-2</v>
      </c>
      <c r="E205" s="291"/>
      <c r="F205" s="291"/>
      <c r="G205" s="291"/>
      <c r="H205" s="290"/>
    </row>
    <row r="206" spans="1:8" ht="13.5" hidden="1" thickBot="1" x14ac:dyDescent="0.25">
      <c r="A206" s="260">
        <f t="shared" si="27"/>
        <v>2021</v>
      </c>
      <c r="B206" s="261" t="s">
        <v>17</v>
      </c>
      <c r="C206" s="298">
        <f>Indeks!H207</f>
        <v>137.71584222205468</v>
      </c>
      <c r="D206" s="299">
        <f t="shared" si="26"/>
        <v>5.8642923965547732E-2</v>
      </c>
      <c r="E206" s="299">
        <f>(SUM(C204:C206)-SUM(C201:C203))/SUM(C201:C203)</f>
        <v>8.5891217182251484E-2</v>
      </c>
      <c r="F206" s="299">
        <f>(SUM(C201:C206)-SUM(C195:C200))/SUM(C195:C200)</f>
        <v>8.2548781905584068E-2</v>
      </c>
      <c r="G206" s="299">
        <f>(SUM(C195:C206)-SUM(C183:C194))/SUM(C183:C194)</f>
        <v>7.2986765269850651E-2</v>
      </c>
      <c r="H206" s="298">
        <f>(C195+C196+C197+C198+C199+C200+C201+C202+C203+C204+C205+C206)/12</f>
        <v>120.91005420108343</v>
      </c>
    </row>
    <row r="207" spans="1:8" hidden="1" x14ac:dyDescent="0.2">
      <c r="A207" s="253">
        <v>2022</v>
      </c>
      <c r="B207" s="254" t="s">
        <v>7</v>
      </c>
      <c r="C207" s="282">
        <f>Indeks!H208</f>
        <v>135.70474282368332</v>
      </c>
      <c r="D207" s="284">
        <f t="shared" ref="D207:D218" si="28">(C207-C206)/C206</f>
        <v>-1.460325381540808E-2</v>
      </c>
      <c r="E207" s="284"/>
      <c r="F207" s="284"/>
      <c r="G207" s="284"/>
      <c r="H207" s="282"/>
    </row>
    <row r="208" spans="1:8" hidden="1" x14ac:dyDescent="0.2">
      <c r="A208" s="255">
        <f>A207</f>
        <v>2022</v>
      </c>
      <c r="B208" s="297" t="s">
        <v>8</v>
      </c>
      <c r="C208" s="285">
        <f>Indeks!H209</f>
        <v>144.73017776582452</v>
      </c>
      <c r="D208" s="286">
        <f t="shared" si="28"/>
        <v>6.6507881407414413E-2</v>
      </c>
      <c r="E208" s="286"/>
      <c r="F208" s="286"/>
      <c r="G208" s="286"/>
      <c r="H208" s="285"/>
    </row>
    <row r="209" spans="1:8" hidden="1" x14ac:dyDescent="0.2">
      <c r="A209" s="256">
        <f t="shared" ref="A209:A218" si="29">A208</f>
        <v>2022</v>
      </c>
      <c r="B209" s="257" t="s">
        <v>9</v>
      </c>
      <c r="C209" s="287">
        <f>Indeks!H210</f>
        <v>137.48316792202803</v>
      </c>
      <c r="D209" s="288">
        <f t="shared" si="28"/>
        <v>-5.0072555396997127E-2</v>
      </c>
      <c r="E209" s="288">
        <f>(SUM(C207:C209)-SUM(C204:C206))/SUM(C204:C206)</f>
        <v>6.4389420968555197E-2</v>
      </c>
      <c r="F209" s="288"/>
      <c r="G209" s="288"/>
      <c r="H209" s="287"/>
    </row>
    <row r="210" spans="1:8" hidden="1" x14ac:dyDescent="0.2">
      <c r="A210" s="258">
        <f t="shared" si="29"/>
        <v>2022</v>
      </c>
      <c r="B210" s="262" t="s">
        <v>10</v>
      </c>
      <c r="C210" s="285">
        <f>Indeks!H211</f>
        <v>137.20395154881462</v>
      </c>
      <c r="D210" s="286">
        <f t="shared" si="28"/>
        <v>-2.0309131469226104E-3</v>
      </c>
      <c r="E210" s="286"/>
      <c r="F210" s="286"/>
      <c r="G210" s="286"/>
      <c r="H210" s="285"/>
    </row>
    <row r="211" spans="1:8" hidden="1" x14ac:dyDescent="0.2">
      <c r="A211" s="259">
        <f t="shared" si="29"/>
        <v>2022</v>
      </c>
      <c r="B211" s="254" t="s">
        <v>11</v>
      </c>
      <c r="C211" s="290">
        <f>Indeks!H212</f>
        <v>150.81176883621524</v>
      </c>
      <c r="D211" s="291">
        <f t="shared" si="28"/>
        <v>9.9179485239236809E-2</v>
      </c>
      <c r="E211" s="291"/>
      <c r="F211" s="291"/>
      <c r="G211" s="291"/>
      <c r="H211" s="290"/>
    </row>
    <row r="212" spans="1:8" hidden="1" x14ac:dyDescent="0.2">
      <c r="A212" s="263">
        <f t="shared" si="29"/>
        <v>2022</v>
      </c>
      <c r="B212" s="292" t="s">
        <v>12</v>
      </c>
      <c r="C212" s="293">
        <f>Indeks!H213</f>
        <v>144.64803932076404</v>
      </c>
      <c r="D212" s="294">
        <f t="shared" si="28"/>
        <v>-4.0870348269339211E-2</v>
      </c>
      <c r="E212" s="294">
        <f>(SUM(C210:C212)-SUM(C207:C209))/SUM(C207:C209)</f>
        <v>3.5283639544716659E-2</v>
      </c>
      <c r="F212" s="294">
        <f>(SUM(C207:C212)-SUM(C201:C206))/SUM(C201:C206)</f>
        <v>0.12776900898880159</v>
      </c>
      <c r="G212" s="294"/>
      <c r="H212" s="293"/>
    </row>
    <row r="213" spans="1:8" hidden="1" x14ac:dyDescent="0.2">
      <c r="A213" s="259">
        <f t="shared" si="29"/>
        <v>2022</v>
      </c>
      <c r="B213" s="254" t="s">
        <v>30</v>
      </c>
      <c r="C213" s="290">
        <f>Indeks!H214</f>
        <v>142.1063929021411</v>
      </c>
      <c r="D213" s="291">
        <f t="shared" si="28"/>
        <v>-1.7571246942288114E-2</v>
      </c>
      <c r="E213" s="291"/>
      <c r="F213" s="291"/>
      <c r="G213" s="291"/>
      <c r="H213" s="290"/>
    </row>
    <row r="214" spans="1:8" hidden="1" x14ac:dyDescent="0.2">
      <c r="A214" s="255">
        <f t="shared" si="29"/>
        <v>2022</v>
      </c>
      <c r="B214" s="297" t="s">
        <v>13</v>
      </c>
      <c r="C214" s="285">
        <f>Indeks!H215</f>
        <v>145.89355718732898</v>
      </c>
      <c r="D214" s="286">
        <f t="shared" si="28"/>
        <v>2.6650203469704873E-2</v>
      </c>
      <c r="E214" s="286"/>
      <c r="F214" s="286"/>
      <c r="G214" s="286"/>
      <c r="H214" s="285"/>
    </row>
    <row r="215" spans="1:8" hidden="1" x14ac:dyDescent="0.2">
      <c r="A215" s="256">
        <f t="shared" si="29"/>
        <v>2022</v>
      </c>
      <c r="B215" s="257" t="s">
        <v>14</v>
      </c>
      <c r="C215" s="287">
        <f>Indeks!H216</f>
        <v>162.98460863969947</v>
      </c>
      <c r="D215" s="288">
        <f t="shared" si="28"/>
        <v>0.11714740377757318</v>
      </c>
      <c r="E215" s="288">
        <f>(SUM(C213:C215)-SUM(C210:C212))/SUM(C210:C212)</f>
        <v>4.234419595446022E-2</v>
      </c>
      <c r="F215" s="288"/>
      <c r="G215" s="288"/>
      <c r="H215" s="287"/>
    </row>
    <row r="216" spans="1:8" hidden="1" x14ac:dyDescent="0.2">
      <c r="A216" s="258">
        <f t="shared" si="29"/>
        <v>2022</v>
      </c>
      <c r="B216" s="262" t="s">
        <v>15</v>
      </c>
      <c r="C216" s="285">
        <f>Indeks!H217</f>
        <v>181.75812549431939</v>
      </c>
      <c r="D216" s="286">
        <f t="shared" si="28"/>
        <v>0.11518582651028986</v>
      </c>
      <c r="E216" s="286"/>
      <c r="F216" s="286"/>
      <c r="G216" s="286"/>
      <c r="H216" s="285"/>
    </row>
    <row r="217" spans="1:8" hidden="1" x14ac:dyDescent="0.2">
      <c r="A217" s="259">
        <f t="shared" si="29"/>
        <v>2022</v>
      </c>
      <c r="B217" s="254" t="s">
        <v>16</v>
      </c>
      <c r="C217" s="290">
        <f>Indeks!H218</f>
        <v>170.71297321702724</v>
      </c>
      <c r="D217" s="291">
        <f t="shared" si="28"/>
        <v>-6.0768409925295738E-2</v>
      </c>
      <c r="E217" s="291"/>
      <c r="F217" s="291"/>
      <c r="G217" s="291"/>
      <c r="H217" s="290"/>
    </row>
    <row r="218" spans="1:8" ht="13.5" hidden="1" thickBot="1" x14ac:dyDescent="0.25">
      <c r="A218" s="260">
        <f t="shared" si="29"/>
        <v>2022</v>
      </c>
      <c r="B218" s="261" t="s">
        <v>17</v>
      </c>
      <c r="C218" s="298">
        <f>Indeks!H219</f>
        <v>143.93719079563346</v>
      </c>
      <c r="D218" s="299">
        <f t="shared" si="28"/>
        <v>-0.15684679328590778</v>
      </c>
      <c r="E218" s="299">
        <f>(SUM(C216:C218)-SUM(C213:C215))/SUM(C213:C215)</f>
        <v>0.10072125508201472</v>
      </c>
      <c r="F218" s="299">
        <f>(SUM(C213:C218)-SUM(C207:C212))/SUM(C207:C212)</f>
        <v>0.11381738303223696</v>
      </c>
      <c r="G218" s="299">
        <f>(SUM(C207:C218)-SUM(C195:C206))/SUM(C195:C206)</f>
        <v>0.23919574508894753</v>
      </c>
      <c r="H218" s="298">
        <f>(C207+C208+C209+C210+C211+C212+C213+C214+C215+C216+C217+C218)/12</f>
        <v>149.83122470445662</v>
      </c>
    </row>
    <row r="219" spans="1:8" x14ac:dyDescent="0.2">
      <c r="A219" s="253">
        <v>2023</v>
      </c>
      <c r="B219" s="254" t="s">
        <v>7</v>
      </c>
      <c r="C219" s="282">
        <f>Indeks!H220</f>
        <v>146.14524221518798</v>
      </c>
      <c r="D219" s="284">
        <f t="shared" ref="D219:D230" si="30">(C219-C218)/C218</f>
        <v>1.5340381504941157E-2</v>
      </c>
      <c r="E219" s="284"/>
      <c r="F219" s="284"/>
      <c r="G219" s="284"/>
      <c r="H219" s="282"/>
    </row>
    <row r="220" spans="1:8" x14ac:dyDescent="0.2">
      <c r="A220" s="255">
        <f>A219</f>
        <v>2023</v>
      </c>
      <c r="B220" s="297" t="s">
        <v>8</v>
      </c>
      <c r="C220" s="285">
        <f>Indeks!H221</f>
        <v>153.31314362838552</v>
      </c>
      <c r="D220" s="286">
        <f t="shared" si="30"/>
        <v>4.9046423301576526E-2</v>
      </c>
      <c r="E220" s="286"/>
      <c r="F220" s="286"/>
      <c r="G220" s="286"/>
      <c r="H220" s="285"/>
    </row>
    <row r="221" spans="1:8" x14ac:dyDescent="0.2">
      <c r="A221" s="256">
        <f t="shared" ref="A221:A230" si="31">A220</f>
        <v>2023</v>
      </c>
      <c r="B221" s="257" t="s">
        <v>9</v>
      </c>
      <c r="C221" s="287">
        <f>Indeks!H222</f>
        <v>139.58505460316945</v>
      </c>
      <c r="D221" s="288">
        <f t="shared" si="30"/>
        <v>-8.9542805661147154E-2</v>
      </c>
      <c r="E221" s="288">
        <f>(SUM(C219:C221)-SUM(C216:C218))/SUM(C216:C218)</f>
        <v>-0.11555981290564339</v>
      </c>
      <c r="F221" s="288"/>
      <c r="G221" s="288"/>
      <c r="H221" s="287"/>
    </row>
    <row r="222" spans="1:8" x14ac:dyDescent="0.2">
      <c r="A222" s="258">
        <f t="shared" si="31"/>
        <v>2023</v>
      </c>
      <c r="B222" s="262" t="s">
        <v>10</v>
      </c>
      <c r="C222" s="285">
        <f>Indeks!H223</f>
        <v>137.76729247464692</v>
      </c>
      <c r="D222" s="286">
        <f t="shared" si="30"/>
        <v>-1.3022612869911481E-2</v>
      </c>
      <c r="E222" s="286"/>
      <c r="F222" s="286"/>
      <c r="G222" s="286"/>
      <c r="H222" s="285"/>
    </row>
    <row r="223" spans="1:8" x14ac:dyDescent="0.2">
      <c r="A223" s="259">
        <f t="shared" si="31"/>
        <v>2023</v>
      </c>
      <c r="B223" s="254" t="s">
        <v>11</v>
      </c>
      <c r="C223" s="290">
        <f>Indeks!H224</f>
        <v>135.04987246814218</v>
      </c>
      <c r="D223" s="291">
        <f t="shared" si="30"/>
        <v>-1.9724710834429882E-2</v>
      </c>
      <c r="E223" s="291"/>
      <c r="F223" s="291"/>
      <c r="G223" s="291"/>
      <c r="H223" s="290"/>
    </row>
    <row r="224" spans="1:8" x14ac:dyDescent="0.2">
      <c r="A224" s="263">
        <f t="shared" si="31"/>
        <v>2023</v>
      </c>
      <c r="B224" s="292" t="s">
        <v>12</v>
      </c>
      <c r="C224" s="293">
        <f>Indeks!H225</f>
        <v>134.76713729001608</v>
      </c>
      <c r="D224" s="294">
        <f t="shared" si="30"/>
        <v>-2.0935612374813552E-3</v>
      </c>
      <c r="E224" s="294">
        <f>(SUM(C222:C224)-SUM(C219:C221))/SUM(C219:C221)</f>
        <v>-7.1653816720110841E-2</v>
      </c>
      <c r="F224" s="294">
        <f>(SUM(C219:C224)-SUM(C213:C218))/SUM(C213:C218)</f>
        <v>-0.10636042455271366</v>
      </c>
      <c r="G224" s="294"/>
      <c r="H224" s="293"/>
    </row>
    <row r="225" spans="1:8" x14ac:dyDescent="0.2">
      <c r="A225" s="264">
        <f t="shared" si="31"/>
        <v>2023</v>
      </c>
      <c r="B225" s="265" t="s">
        <v>30</v>
      </c>
      <c r="C225" s="290">
        <f>Indeks!H226</f>
        <v>132.54817739256833</v>
      </c>
      <c r="D225" s="291">
        <f t="shared" si="30"/>
        <v>-1.6465140850121279E-2</v>
      </c>
      <c r="E225" s="291"/>
      <c r="F225" s="291"/>
      <c r="G225" s="291"/>
      <c r="H225" s="290"/>
    </row>
    <row r="226" spans="1:8" x14ac:dyDescent="0.2">
      <c r="A226" s="255">
        <f t="shared" si="31"/>
        <v>2023</v>
      </c>
      <c r="B226" s="297" t="s">
        <v>13</v>
      </c>
      <c r="C226" s="285">
        <f>Indeks!H227</f>
        <v>132.91900076819664</v>
      </c>
      <c r="D226" s="286">
        <f t="shared" si="30"/>
        <v>2.7976497521353034E-3</v>
      </c>
      <c r="E226" s="286"/>
      <c r="F226" s="286"/>
      <c r="G226" s="286"/>
      <c r="H226" s="285"/>
    </row>
    <row r="227" spans="1:8" x14ac:dyDescent="0.2">
      <c r="A227" s="256">
        <f t="shared" si="31"/>
        <v>2023</v>
      </c>
      <c r="B227" s="257" t="s">
        <v>14</v>
      </c>
      <c r="C227" s="287">
        <f>Indeks!H228</f>
        <v>134.30216344092889</v>
      </c>
      <c r="D227" s="288">
        <f t="shared" si="30"/>
        <v>1.040605680706563E-2</v>
      </c>
      <c r="E227" s="288">
        <f>(SUM(C225:C227)-SUM(C222:C224))/SUM(C222:C224)</f>
        <v>-1.9173850877719747E-2</v>
      </c>
      <c r="F227" s="288"/>
      <c r="G227" s="288"/>
      <c r="H227" s="287"/>
    </row>
    <row r="228" spans="1:8" x14ac:dyDescent="0.2">
      <c r="A228" s="258">
        <f t="shared" si="31"/>
        <v>2023</v>
      </c>
      <c r="B228" s="262" t="s">
        <v>15</v>
      </c>
      <c r="C228" s="285">
        <f>Indeks!H229</f>
        <v>135.81435943301605</v>
      </c>
      <c r="D228" s="286">
        <f t="shared" si="30"/>
        <v>1.1259654746755273E-2</v>
      </c>
      <c r="E228" s="286"/>
      <c r="F228" s="286"/>
      <c r="G228" s="286"/>
      <c r="H228" s="285"/>
    </row>
    <row r="229" spans="1:8" x14ac:dyDescent="0.2">
      <c r="A229" s="259">
        <f t="shared" si="31"/>
        <v>2023</v>
      </c>
      <c r="B229" s="254" t="s">
        <v>16</v>
      </c>
      <c r="C229" s="290">
        <f>Indeks!H230</f>
        <v>136.24451904135134</v>
      </c>
      <c r="D229" s="291">
        <f t="shared" si="30"/>
        <v>3.1672616219012052E-3</v>
      </c>
      <c r="E229" s="291"/>
      <c r="F229" s="291"/>
      <c r="G229" s="291"/>
      <c r="H229" s="290"/>
    </row>
    <row r="230" spans="1:8" ht="13.5" thickBot="1" x14ac:dyDescent="0.25">
      <c r="A230" s="260">
        <f t="shared" si="31"/>
        <v>2023</v>
      </c>
      <c r="B230" s="261" t="s">
        <v>17</v>
      </c>
      <c r="C230" s="298">
        <f>Indeks!H231</f>
        <v>137.91513821257186</v>
      </c>
      <c r="D230" s="299">
        <f t="shared" si="30"/>
        <v>1.2261918372756527E-2</v>
      </c>
      <c r="E230" s="299">
        <f>(SUM(C228:C230)-SUM(C225:C227))/SUM(C225:C227)</f>
        <v>2.5526407413734648E-2</v>
      </c>
      <c r="F230" s="299">
        <f>(SUM(C225:C230)-SUM(C219:C224))/SUM(C219:C224)</f>
        <v>-4.3566236412448708E-2</v>
      </c>
      <c r="G230" s="299">
        <f>(SUM(C219:C230)-SUM(C207:C218))/SUM(C207:C218)</f>
        <v>-7.8757279379188333E-2</v>
      </c>
      <c r="H230" s="298">
        <f>(C219+C220+C221+C222+C223+C224+C225+C226+C227+C228+C229+C230)/12</f>
        <v>138.03092508068178</v>
      </c>
    </row>
    <row r="231" spans="1:8" x14ac:dyDescent="0.2">
      <c r="A231" s="253">
        <v>2024</v>
      </c>
      <c r="B231" s="254" t="s">
        <v>7</v>
      </c>
      <c r="C231" s="282">
        <f>Indeks!H232</f>
        <v>139.70474557394462</v>
      </c>
      <c r="D231" s="284">
        <f t="shared" ref="D231:D242" si="32">(C231-C230)/C230</f>
        <v>1.2976148844620634E-2</v>
      </c>
      <c r="E231" s="284"/>
      <c r="F231" s="284"/>
      <c r="G231" s="284"/>
      <c r="H231" s="282"/>
    </row>
    <row r="232" spans="1:8" x14ac:dyDescent="0.2">
      <c r="A232" s="255">
        <f>A231</f>
        <v>2024</v>
      </c>
      <c r="B232" s="297" t="s">
        <v>8</v>
      </c>
      <c r="C232" s="285">
        <f>Indeks!H233</f>
        <v>136.89487900297311</v>
      </c>
      <c r="D232" s="286">
        <f t="shared" si="32"/>
        <v>-2.0112892797075871E-2</v>
      </c>
      <c r="E232" s="286"/>
      <c r="F232" s="286"/>
      <c r="G232" s="286"/>
      <c r="H232" s="285"/>
    </row>
    <row r="233" spans="1:8" x14ac:dyDescent="0.2">
      <c r="A233" s="256">
        <f t="shared" ref="A233:A242" si="33">A232</f>
        <v>2024</v>
      </c>
      <c r="B233" s="257" t="s">
        <v>9</v>
      </c>
      <c r="C233" s="287">
        <f>Indeks!H234</f>
        <v>135.57095948397628</v>
      </c>
      <c r="D233" s="288">
        <f t="shared" si="32"/>
        <v>-9.6710667969404328E-3</v>
      </c>
      <c r="E233" s="288">
        <f>(SUM(C231:C233)-SUM(C228:C230))/SUM(C228:C230)</f>
        <v>5.3578209460824755E-3</v>
      </c>
      <c r="F233" s="288"/>
      <c r="G233" s="288"/>
      <c r="H233" s="287"/>
    </row>
    <row r="234" spans="1:8" x14ac:dyDescent="0.2">
      <c r="A234" s="258">
        <f t="shared" si="33"/>
        <v>2024</v>
      </c>
      <c r="B234" s="262" t="s">
        <v>10</v>
      </c>
      <c r="C234" s="285">
        <f>Indeks!H235</f>
        <v>135.00834126758068</v>
      </c>
      <c r="D234" s="286">
        <f t="shared" si="32"/>
        <v>-4.1499906656786937E-3</v>
      </c>
      <c r="E234" s="286"/>
      <c r="F234" s="286"/>
      <c r="G234" s="286"/>
      <c r="H234" s="285"/>
    </row>
    <row r="235" spans="1:8" x14ac:dyDescent="0.2">
      <c r="A235" s="259">
        <f t="shared" si="33"/>
        <v>2024</v>
      </c>
      <c r="B235" s="254" t="s">
        <v>11</v>
      </c>
      <c r="C235" s="290">
        <f>Indeks!H236</f>
        <v>135.18571483599544</v>
      </c>
      <c r="D235" s="291">
        <f t="shared" si="32"/>
        <v>1.3137971087521069E-3</v>
      </c>
      <c r="E235" s="291"/>
      <c r="F235" s="291"/>
      <c r="G235" s="291"/>
      <c r="H235" s="290"/>
    </row>
    <row r="236" spans="1:8" x14ac:dyDescent="0.2">
      <c r="A236" s="263">
        <f t="shared" si="33"/>
        <v>2024</v>
      </c>
      <c r="B236" s="292" t="s">
        <v>12</v>
      </c>
      <c r="C236" s="293">
        <f>Indeks!H237</f>
        <v>137.29210357842908</v>
      </c>
      <c r="D236" s="294">
        <f t="shared" si="32"/>
        <v>1.558144471839399E-2</v>
      </c>
      <c r="E236" s="294">
        <f>(SUM(C234:C236)-SUM(C231:C233))/SUM(C231:C233)</f>
        <v>-1.1365256425472479E-2</v>
      </c>
      <c r="F236" s="294">
        <f>(SUM(C231:C236)-SUM(C225:C230))/SUM(C225:C230)</f>
        <v>1.2242626447986788E-2</v>
      </c>
      <c r="G236" s="294"/>
      <c r="H236" s="293"/>
    </row>
    <row r="237" spans="1:8" x14ac:dyDescent="0.2">
      <c r="A237" s="264">
        <f t="shared" si="33"/>
        <v>2024</v>
      </c>
      <c r="B237" s="265" t="s">
        <v>30</v>
      </c>
      <c r="C237" s="290">
        <f>Indeks!H238</f>
        <v>138.89004396478558</v>
      </c>
      <c r="D237" s="291">
        <f t="shared" si="32"/>
        <v>1.1638982466633004E-2</v>
      </c>
      <c r="E237" s="291"/>
      <c r="F237" s="291"/>
      <c r="G237" s="291"/>
      <c r="H237" s="290"/>
    </row>
    <row r="238" spans="1:8" x14ac:dyDescent="0.2">
      <c r="A238" s="255">
        <f t="shared" si="33"/>
        <v>2024</v>
      </c>
      <c r="B238" s="297" t="s">
        <v>13</v>
      </c>
      <c r="C238" s="285">
        <f>Indeks!H239</f>
        <v>139.50302689380624</v>
      </c>
      <c r="D238" s="286">
        <f t="shared" si="32"/>
        <v>4.4134403843667644E-3</v>
      </c>
      <c r="E238" s="286"/>
      <c r="F238" s="286"/>
      <c r="G238" s="286"/>
      <c r="H238" s="285"/>
    </row>
    <row r="239" spans="1:8" x14ac:dyDescent="0.2">
      <c r="A239" s="256">
        <f t="shared" si="33"/>
        <v>2024</v>
      </c>
      <c r="B239" s="257" t="s">
        <v>14</v>
      </c>
      <c r="C239" s="287">
        <f>Indeks!H240</f>
        <v>138.76400220844329</v>
      </c>
      <c r="D239" s="288">
        <f t="shared" si="32"/>
        <v>-5.2975530482612127E-3</v>
      </c>
      <c r="E239" s="288">
        <f>(SUM(C237:C239)-SUM(C234:C236))/SUM(C234:C236)</f>
        <v>2.3733108855959452E-2</v>
      </c>
      <c r="F239" s="288"/>
      <c r="G239" s="288"/>
      <c r="H239" s="287"/>
    </row>
    <row r="240" spans="1:8" x14ac:dyDescent="0.2">
      <c r="A240" s="258">
        <f t="shared" si="33"/>
        <v>2024</v>
      </c>
      <c r="B240" s="262" t="s">
        <v>15</v>
      </c>
      <c r="C240" s="285">
        <f>Indeks!H241</f>
        <v>141.98568117017149</v>
      </c>
      <c r="D240" s="286">
        <f t="shared" si="32"/>
        <v>2.3216964850068113E-2</v>
      </c>
      <c r="E240" s="286"/>
      <c r="F240" s="286"/>
      <c r="G240" s="286"/>
      <c r="H240" s="285"/>
    </row>
    <row r="241" spans="1:8" x14ac:dyDescent="0.2">
      <c r="A241" s="259">
        <f t="shared" si="33"/>
        <v>2024</v>
      </c>
      <c r="B241" s="254" t="s">
        <v>16</v>
      </c>
      <c r="C241" s="290">
        <f>Indeks!H242</f>
        <v>141.6148951017696</v>
      </c>
      <c r="D241" s="291">
        <f t="shared" si="32"/>
        <v>-2.6114328243951063E-3</v>
      </c>
      <c r="E241" s="291"/>
      <c r="F241" s="291"/>
      <c r="G241" s="291"/>
      <c r="H241" s="290"/>
    </row>
    <row r="242" spans="1:8" ht="13.5" thickBot="1" x14ac:dyDescent="0.25">
      <c r="A242" s="260">
        <f t="shared" si="33"/>
        <v>2024</v>
      </c>
      <c r="B242" s="261" t="s">
        <v>17</v>
      </c>
      <c r="C242" s="298">
        <f>Indeks!H243</f>
        <v>141.9608827065928</v>
      </c>
      <c r="D242" s="299">
        <f t="shared" si="32"/>
        <v>2.4431582890666556E-3</v>
      </c>
      <c r="E242" s="299">
        <f>(SUM(C240:C242)-SUM(C237:C239))/SUM(C237:C239)</f>
        <v>2.0146813884055179E-2</v>
      </c>
      <c r="F242" s="299">
        <f>(SUM(C237:C242)-SUM(C231:C236))/SUM(C231:C236)</f>
        <v>2.8135909914386765E-2</v>
      </c>
      <c r="G242" s="299">
        <f>(SUM(C231:C242)-SUM(C219:C230))/SUM(C219:C230)</f>
        <v>3.6248971119924346E-3</v>
      </c>
      <c r="H242" s="298">
        <f>(C231+C232+C233+C234+C235+C236+C237+C238+C239+C240+C241+C242)/12</f>
        <v>138.53127298237237</v>
      </c>
    </row>
    <row r="243" spans="1:8" x14ac:dyDescent="0.2">
      <c r="A243" s="253">
        <v>2025</v>
      </c>
      <c r="B243" s="254" t="s">
        <v>7</v>
      </c>
      <c r="C243" s="282">
        <f>Indeks!H244</f>
        <v>142.51014146513387</v>
      </c>
      <c r="D243" s="284">
        <f t="shared" ref="D243:D254" si="34">(C243-C242)/C242</f>
        <v>3.8690852583404206E-3</v>
      </c>
      <c r="E243" s="284"/>
      <c r="F243" s="284"/>
      <c r="G243" s="284"/>
      <c r="H243" s="282"/>
    </row>
    <row r="244" spans="1:8" x14ac:dyDescent="0.2">
      <c r="A244" s="255">
        <f>A243</f>
        <v>2025</v>
      </c>
      <c r="B244" s="297" t="s">
        <v>8</v>
      </c>
      <c r="C244" s="285">
        <f>Indeks!H245</f>
        <v>143.04497297601324</v>
      </c>
      <c r="D244" s="286">
        <f t="shared" si="34"/>
        <v>3.75293649547195E-3</v>
      </c>
      <c r="E244" s="286"/>
      <c r="F244" s="286"/>
      <c r="G244" s="286"/>
      <c r="H244" s="285"/>
    </row>
    <row r="245" spans="1:8" x14ac:dyDescent="0.2">
      <c r="A245" s="256">
        <f t="shared" ref="A245:A254" si="35">A244</f>
        <v>2025</v>
      </c>
      <c r="B245" s="257" t="s">
        <v>9</v>
      </c>
      <c r="C245" s="287">
        <f>Indeks!H246</f>
        <v>143.59069250800687</v>
      </c>
      <c r="D245" s="288">
        <f t="shared" si="34"/>
        <v>3.8150206934230123E-3</v>
      </c>
      <c r="E245" s="288">
        <f>(SUM(C243:C245)-SUM(C240:C242))/SUM(C240:C242)</f>
        <v>8.4226329593463396E-3</v>
      </c>
      <c r="F245" s="288"/>
      <c r="G245" s="288"/>
      <c r="H245" s="287"/>
    </row>
    <row r="246" spans="1:8" x14ac:dyDescent="0.2">
      <c r="A246" s="258">
        <f t="shared" si="35"/>
        <v>2025</v>
      </c>
      <c r="B246" s="262" t="s">
        <v>10</v>
      </c>
      <c r="C246" s="285">
        <f>Indeks!H247</f>
        <v>145.30712794449039</v>
      </c>
      <c r="D246" s="286">
        <f t="shared" si="34"/>
        <v>1.195366779352924E-2</v>
      </c>
      <c r="E246" s="286"/>
      <c r="F246" s="286"/>
      <c r="G246" s="286"/>
      <c r="H246" s="285"/>
    </row>
    <row r="247" spans="1:8" x14ac:dyDescent="0.2">
      <c r="A247" s="259">
        <f t="shared" si="35"/>
        <v>2025</v>
      </c>
      <c r="B247" s="254" t="s">
        <v>11</v>
      </c>
      <c r="C247" s="290">
        <f>Indeks!H248</f>
        <v>142.77023250323901</v>
      </c>
      <c r="D247" s="291">
        <f t="shared" si="34"/>
        <v>-1.7458850623078233E-2</v>
      </c>
      <c r="E247" s="291"/>
      <c r="F247" s="291"/>
      <c r="G247" s="291"/>
      <c r="H247" s="290"/>
    </row>
    <row r="248" spans="1:8" x14ac:dyDescent="0.2">
      <c r="A248" s="263">
        <f t="shared" si="35"/>
        <v>2025</v>
      </c>
      <c r="B248" s="292" t="s">
        <v>12</v>
      </c>
      <c r="C248" s="293">
        <f>Indeks!H249</f>
        <v>139.51296790284567</v>
      </c>
      <c r="D248" s="294">
        <f t="shared" si="34"/>
        <v>-2.2814732057814952E-2</v>
      </c>
      <c r="E248" s="294">
        <f>(SUM(C246:C248)-SUM(C243:C245))/SUM(C243:C245)</f>
        <v>-3.6245923259439548E-3</v>
      </c>
      <c r="F248" s="294">
        <f>(SUM(C243:C248)-SUM(C237:C242))/SUM(C237:C242)</f>
        <v>1.6633790193428453E-2</v>
      </c>
      <c r="G248" s="294"/>
      <c r="H248" s="293"/>
    </row>
    <row r="249" spans="1:8" x14ac:dyDescent="0.2">
      <c r="A249" s="264">
        <f t="shared" si="35"/>
        <v>2025</v>
      </c>
      <c r="B249" s="265" t="s">
        <v>30</v>
      </c>
      <c r="C249" s="290">
        <f>Indeks!H250</f>
        <v>139.80645511018673</v>
      </c>
      <c r="D249" s="291">
        <f t="shared" si="34"/>
        <v>2.1036553931347659E-3</v>
      </c>
      <c r="E249" s="291"/>
      <c r="F249" s="291"/>
      <c r="G249" s="291"/>
      <c r="H249" s="290"/>
    </row>
    <row r="250" spans="1:8" x14ac:dyDescent="0.2">
      <c r="A250" s="255">
        <f t="shared" si="35"/>
        <v>2025</v>
      </c>
      <c r="B250" s="297" t="s">
        <v>13</v>
      </c>
      <c r="C250" s="237">
        <f>Indeks!H251</f>
        <v>139.81782708765743</v>
      </c>
      <c r="D250" s="176">
        <f t="shared" si="34"/>
        <v>8.1340861276680635E-5</v>
      </c>
      <c r="E250" s="176"/>
      <c r="F250" s="176"/>
      <c r="G250" s="176"/>
      <c r="H250" s="242"/>
    </row>
    <row r="251" spans="1:8" x14ac:dyDescent="0.2">
      <c r="A251" s="256">
        <f t="shared" si="35"/>
        <v>2025</v>
      </c>
      <c r="B251" s="257" t="s">
        <v>14</v>
      </c>
      <c r="C251" s="238">
        <f>Indeks!H252</f>
        <v>139.82920982876641</v>
      </c>
      <c r="D251" s="240">
        <f t="shared" si="34"/>
        <v>8.1411228782994282E-5</v>
      </c>
      <c r="E251" s="240">
        <f>(SUM(C249:C251)-SUM(C246:C248))/SUM(C246:C248)</f>
        <v>-1.9029514431143073E-2</v>
      </c>
      <c r="F251" s="240"/>
      <c r="G251" s="240"/>
      <c r="H251" s="240"/>
    </row>
    <row r="252" spans="1:8" x14ac:dyDescent="0.2">
      <c r="A252" s="258">
        <f t="shared" si="35"/>
        <v>2025</v>
      </c>
      <c r="B252" s="262" t="s">
        <v>15</v>
      </c>
      <c r="C252" s="239">
        <f>Indeks!H253</f>
        <v>140.71584516310091</v>
      </c>
      <c r="D252" s="176">
        <f t="shared" si="34"/>
        <v>6.3408449165969355E-3</v>
      </c>
      <c r="E252" s="241"/>
      <c r="F252" s="241"/>
      <c r="G252" s="241"/>
      <c r="H252" s="242"/>
    </row>
    <row r="253" spans="1:8" x14ac:dyDescent="0.2">
      <c r="A253" s="259">
        <f t="shared" si="35"/>
        <v>2025</v>
      </c>
      <c r="B253" s="254" t="s">
        <v>16</v>
      </c>
      <c r="C253" s="237">
        <f>Indeks!H254</f>
        <v>140.72724946341364</v>
      </c>
      <c r="D253" s="176">
        <f t="shared" si="34"/>
        <v>8.1044890854438211E-5</v>
      </c>
      <c r="E253" s="176"/>
      <c r="F253" s="176"/>
      <c r="G253" s="176"/>
      <c r="H253" s="176"/>
    </row>
    <row r="254" spans="1:8" ht="13.5" thickBot="1" x14ac:dyDescent="0.25">
      <c r="A254" s="260">
        <f t="shared" si="35"/>
        <v>2025</v>
      </c>
      <c r="B254" s="261" t="s">
        <v>17</v>
      </c>
      <c r="C254" s="266">
        <f>Indeks!H255</f>
        <v>140.73866455931295</v>
      </c>
      <c r="D254" s="267">
        <f t="shared" si="34"/>
        <v>8.1115035949573069E-5</v>
      </c>
      <c r="E254" s="267">
        <f>(SUM(C252:C254)-SUM(C249:C251))/SUM(C249:C251)</f>
        <v>6.5043376943535224E-3</v>
      </c>
      <c r="F254" s="267">
        <f>(SUM(C249:C254)-SUM(C243:C248))/SUM(C243:C248)</f>
        <v>-1.762606182358345E-2</v>
      </c>
      <c r="G254" s="267">
        <f>(SUM(C243:C254)-SUM(C231:C242))/SUM(C231:C242)</f>
        <v>2.1653420408713417E-2</v>
      </c>
      <c r="H254" s="266">
        <f>(C243+C244+C245+C246+C247+C248+C249+C250+C251+C252+C253+C254)/12</f>
        <v>141.53094887601392</v>
      </c>
    </row>
    <row r="255" spans="1:8" x14ac:dyDescent="0.2">
      <c r="A255" s="253">
        <v>2026</v>
      </c>
      <c r="B255" s="254" t="s">
        <v>7</v>
      </c>
      <c r="C255" s="237">
        <f>Indeks!H256</f>
        <v>141.55431138517176</v>
      </c>
      <c r="D255" s="176">
        <f t="shared" ref="D255:D266" si="36">(C255-C254)/C254</f>
        <v>5.7954708353443263E-3</v>
      </c>
      <c r="E255" s="176"/>
      <c r="F255" s="176"/>
      <c r="G255" s="176"/>
      <c r="H255" s="176"/>
    </row>
    <row r="256" spans="1:8" x14ac:dyDescent="0.2">
      <c r="A256" s="255">
        <f>A255</f>
        <v>2026</v>
      </c>
      <c r="B256" s="297" t="s">
        <v>8</v>
      </c>
      <c r="C256" s="237">
        <f>Indeks!H257</f>
        <v>141.57519851751593</v>
      </c>
      <c r="D256" s="176">
        <f t="shared" si="36"/>
        <v>1.4755560703013154E-4</v>
      </c>
      <c r="E256" s="176"/>
      <c r="F256" s="176"/>
      <c r="G256" s="176"/>
      <c r="H256" s="242"/>
    </row>
    <row r="257" spans="1:8" x14ac:dyDescent="0.2">
      <c r="A257" s="256">
        <f t="shared" ref="A257:A266" si="37">A256</f>
        <v>2026</v>
      </c>
      <c r="B257" s="257" t="s">
        <v>9</v>
      </c>
      <c r="C257" s="238">
        <f>Indeks!H258</f>
        <v>141.59610732147996</v>
      </c>
      <c r="D257" s="240">
        <f t="shared" si="36"/>
        <v>1.476869125593818E-4</v>
      </c>
      <c r="E257" s="240">
        <f>(SUM(C255:C257)-SUM(C252:C254))/SUM(C252:C254)</f>
        <v>6.0255043781283855E-3</v>
      </c>
      <c r="F257" s="240"/>
      <c r="G257" s="240"/>
      <c r="H257" s="240"/>
    </row>
    <row r="258" spans="1:8" x14ac:dyDescent="0.2">
      <c r="A258" s="258">
        <f t="shared" si="37"/>
        <v>2026</v>
      </c>
      <c r="B258" s="262" t="s">
        <v>10</v>
      </c>
      <c r="C258" s="239">
        <f>Indeks!H259</f>
        <v>142.41875846766516</v>
      </c>
      <c r="D258" s="241">
        <f t="shared" si="36"/>
        <v>5.8098429522320562E-3</v>
      </c>
      <c r="E258" s="241"/>
      <c r="F258" s="241"/>
      <c r="G258" s="241"/>
      <c r="H258" s="242"/>
    </row>
    <row r="259" spans="1:8" x14ac:dyDescent="0.2">
      <c r="A259" s="259">
        <f t="shared" si="37"/>
        <v>2026</v>
      </c>
      <c r="B259" s="254" t="s">
        <v>11</v>
      </c>
      <c r="C259" s="237">
        <f>Indeks!H260</f>
        <v>142.43971068847455</v>
      </c>
      <c r="D259" s="176">
        <f t="shared" si="36"/>
        <v>1.4711700224622113E-4</v>
      </c>
      <c r="E259" s="176"/>
      <c r="F259" s="176"/>
      <c r="G259" s="176"/>
      <c r="H259" s="242"/>
    </row>
    <row r="260" spans="1:8" x14ac:dyDescent="0.2">
      <c r="A260" s="263">
        <f t="shared" si="37"/>
        <v>2026</v>
      </c>
      <c r="B260" s="292" t="s">
        <v>12</v>
      </c>
      <c r="C260" s="238">
        <f>Indeks!H261</f>
        <v>142.46068465456801</v>
      </c>
      <c r="D260" s="240">
        <f t="shared" si="36"/>
        <v>1.4724802509137339E-4</v>
      </c>
      <c r="E260" s="240">
        <f>(SUM(C258:C260)-SUM(C255:C257))/SUM(C255:C257)</f>
        <v>6.106381346833588E-3</v>
      </c>
      <c r="F260" s="240">
        <f>(SUM(C255:C260)-SUM(C249:C254))/SUM(C249:C254)</f>
        <v>1.2368207970663712E-2</v>
      </c>
      <c r="G260" s="240"/>
      <c r="H260" s="240"/>
    </row>
    <row r="261" spans="1:8" x14ac:dyDescent="0.2">
      <c r="A261" s="264">
        <f t="shared" si="37"/>
        <v>2026</v>
      </c>
      <c r="B261" s="265" t="s">
        <v>30</v>
      </c>
      <c r="C261" s="239">
        <f>Indeks!H262</f>
        <v>143.29040092975529</v>
      </c>
      <c r="D261" s="241">
        <f t="shared" si="36"/>
        <v>5.824177226152868E-3</v>
      </c>
      <c r="E261" s="241"/>
      <c r="F261" s="241"/>
      <c r="G261" s="241"/>
      <c r="H261" s="242"/>
    </row>
    <row r="262" spans="1:8" x14ac:dyDescent="0.2">
      <c r="A262" s="255">
        <f t="shared" si="37"/>
        <v>2026</v>
      </c>
      <c r="B262" s="297" t="s">
        <v>13</v>
      </c>
      <c r="C262" s="237">
        <f>Indeks!H263</f>
        <v>143.31141846028598</v>
      </c>
      <c r="D262" s="176">
        <f t="shared" si="36"/>
        <v>1.4667786812173219E-4</v>
      </c>
      <c r="E262" s="176"/>
      <c r="F262" s="176"/>
      <c r="G262" s="176"/>
      <c r="H262" s="242"/>
    </row>
    <row r="263" spans="1:8" x14ac:dyDescent="0.2">
      <c r="A263" s="256">
        <f t="shared" si="37"/>
        <v>2026</v>
      </c>
      <c r="B263" s="257" t="s">
        <v>14</v>
      </c>
      <c r="C263" s="238">
        <f>Indeks!H264</f>
        <v>143.33245781002861</v>
      </c>
      <c r="D263" s="240">
        <f t="shared" si="36"/>
        <v>1.4680860721832169E-4</v>
      </c>
      <c r="E263" s="240">
        <f>(SUM(C261:C263)-SUM(C258:C260))/SUM(C258:C260)</f>
        <v>6.1198365812562263E-3</v>
      </c>
      <c r="F263" s="240"/>
      <c r="G263" s="240"/>
      <c r="H263" s="240"/>
    </row>
    <row r="264" spans="1:8" x14ac:dyDescent="0.2">
      <c r="A264" s="258">
        <f t="shared" si="37"/>
        <v>2026</v>
      </c>
      <c r="B264" s="262" t="s">
        <v>15</v>
      </c>
      <c r="C264" s="239">
        <f>Indeks!H265</f>
        <v>144.16930055268119</v>
      </c>
      <c r="D264" s="176">
        <f t="shared" si="36"/>
        <v>5.8384734025960913E-3</v>
      </c>
      <c r="E264" s="241"/>
      <c r="F264" s="241"/>
      <c r="G264" s="241"/>
      <c r="H264" s="242"/>
    </row>
    <row r="265" spans="1:8" x14ac:dyDescent="0.2">
      <c r="A265" s="259">
        <f t="shared" si="37"/>
        <v>2026</v>
      </c>
      <c r="B265" s="254" t="s">
        <v>16</v>
      </c>
      <c r="C265" s="237">
        <f>Indeks!H266</f>
        <v>144.19038361498147</v>
      </c>
      <c r="D265" s="176">
        <f t="shared" si="36"/>
        <v>1.4623822283561531E-4</v>
      </c>
      <c r="E265" s="176"/>
      <c r="F265" s="176"/>
      <c r="G265" s="176"/>
      <c r="H265" s="176"/>
    </row>
    <row r="266" spans="1:8" ht="13.5" thickBot="1" x14ac:dyDescent="0.25">
      <c r="A266" s="260">
        <f t="shared" si="37"/>
        <v>2026</v>
      </c>
      <c r="B266" s="261" t="s">
        <v>17</v>
      </c>
      <c r="C266" s="266">
        <f>Indeks!H267</f>
        <v>144.2114885706863</v>
      </c>
      <c r="D266" s="267">
        <f t="shared" si="36"/>
        <v>1.4636867713163903E-4</v>
      </c>
      <c r="E266" s="267">
        <f>(SUM(C264:C266)-SUM(C261:C263))/SUM(C261:C263)</f>
        <v>6.1332526344531051E-3</v>
      </c>
      <c r="F266" s="267">
        <f>(SUM(C261:C266)-SUM(C255:C260))/SUM(C255:C260)</f>
        <v>1.2277146998787692E-2</v>
      </c>
      <c r="G266" s="267">
        <f>(SUM(C255:C266)-SUM(C243:C254))/SUM(C243:C254)</f>
        <v>9.5260875151415968E-3</v>
      </c>
      <c r="H266" s="266">
        <f>(C255+C256+C257+C258+C259+C260+C261+C262+C263+C264+C265+C266)/12</f>
        <v>142.87918508110786</v>
      </c>
    </row>
  </sheetData>
  <pageMargins left="0.7" right="0.7" top="0.75" bottom="0.75" header="0.3" footer="0.3"/>
  <pageSetup paperSize="9" orientation="portrait" r:id="rId1"/>
  <ignoredErrors>
    <ignoredError sqref="D3:D86 C3:C8 A39 A51 A63 A75 A147"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9BD72-F29D-4129-ACFC-A6BF7A2D4EBC}">
  <sheetPr codeName="Ark3">
    <pageSetUpPr fitToPage="1"/>
  </sheetPr>
  <dimension ref="A1:L39"/>
  <sheetViews>
    <sheetView view="pageLayout" zoomScale="130" zoomScaleNormal="100" zoomScalePageLayoutView="130" workbookViewId="0">
      <selection activeCell="C251" sqref="C251:C252"/>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17" max="17" width="9" customWidth="1"/>
  </cols>
  <sheetData>
    <row r="1" spans="1:12" ht="15.75" x14ac:dyDescent="0.25">
      <c r="A1" s="82" t="s">
        <v>32</v>
      </c>
    </row>
    <row r="2" spans="1:12" x14ac:dyDescent="0.2">
      <c r="A2" s="6" t="s">
        <v>28</v>
      </c>
      <c r="B2" s="6" t="s">
        <v>29</v>
      </c>
    </row>
    <row r="3" spans="1:12" x14ac:dyDescent="0.2">
      <c r="A3" s="6"/>
      <c r="B3" s="6" t="s">
        <v>78</v>
      </c>
    </row>
    <row r="4" spans="1:12" x14ac:dyDescent="0.2">
      <c r="A4" s="6"/>
      <c r="B4" s="6"/>
    </row>
    <row r="5" spans="1:12" x14ac:dyDescent="0.2">
      <c r="A5" s="2" t="s">
        <v>22</v>
      </c>
      <c r="B5" s="2" t="s">
        <v>23</v>
      </c>
      <c r="C5" s="2" t="s">
        <v>24</v>
      </c>
      <c r="D5" s="2" t="s">
        <v>37</v>
      </c>
      <c r="E5" s="2" t="s">
        <v>27</v>
      </c>
    </row>
    <row r="6" spans="1:12" ht="124.5" customHeight="1" x14ac:dyDescent="0.2">
      <c r="A6" s="152" t="s">
        <v>3</v>
      </c>
      <c r="B6" s="184" t="s">
        <v>117</v>
      </c>
      <c r="C6" t="s">
        <v>25</v>
      </c>
      <c r="D6" s="7" t="s">
        <v>38</v>
      </c>
      <c r="E6" s="5">
        <f>Indeks!C2</f>
        <v>0.6</v>
      </c>
    </row>
    <row r="7" spans="1:12" ht="25.5" x14ac:dyDescent="0.2">
      <c r="A7" s="232" t="s">
        <v>80</v>
      </c>
      <c r="B7" s="226" t="s">
        <v>79</v>
      </c>
      <c r="C7" s="227" t="s">
        <v>26</v>
      </c>
      <c r="D7" s="226" t="s">
        <v>75</v>
      </c>
      <c r="E7" s="228">
        <f>Indeks!D2</f>
        <v>0.17</v>
      </c>
    </row>
    <row r="8" spans="1:12" ht="89.25" x14ac:dyDescent="0.2">
      <c r="A8" s="229" t="s">
        <v>77</v>
      </c>
      <c r="B8" s="233" t="s">
        <v>100</v>
      </c>
      <c r="C8" s="199"/>
      <c r="D8" s="231" t="s">
        <v>101</v>
      </c>
      <c r="E8" s="230">
        <v>0.17</v>
      </c>
    </row>
    <row r="9" spans="1:12" ht="38.25" x14ac:dyDescent="0.2">
      <c r="A9" s="152" t="s">
        <v>4</v>
      </c>
      <c r="B9" s="245" t="s">
        <v>81</v>
      </c>
      <c r="C9" s="67" t="s">
        <v>26</v>
      </c>
      <c r="D9" s="153" t="s">
        <v>39</v>
      </c>
      <c r="E9" s="154">
        <f>Indeks!E2</f>
        <v>0.08</v>
      </c>
    </row>
    <row r="10" spans="1:12" ht="89.25" x14ac:dyDescent="0.2">
      <c r="A10" s="152" t="s">
        <v>5</v>
      </c>
      <c r="B10" s="184" t="s">
        <v>99</v>
      </c>
      <c r="C10" t="s">
        <v>26</v>
      </c>
      <c r="D10" s="225" t="s">
        <v>39</v>
      </c>
      <c r="E10" s="5">
        <f>Indeks!F2</f>
        <v>0.09</v>
      </c>
      <c r="J10" s="199"/>
      <c r="L10" s="5"/>
    </row>
    <row r="11" spans="1:12" ht="51" x14ac:dyDescent="0.2">
      <c r="A11" s="152" t="s">
        <v>6</v>
      </c>
      <c r="B11" s="184" t="s">
        <v>106</v>
      </c>
      <c r="C11" t="s">
        <v>26</v>
      </c>
      <c r="D11" s="7" t="s">
        <v>39</v>
      </c>
      <c r="E11" s="5">
        <f>Indeks!G2</f>
        <v>0.06</v>
      </c>
    </row>
    <row r="39" spans="9:9" x14ac:dyDescent="0.2">
      <c r="I39" s="2"/>
    </row>
  </sheetData>
  <phoneticPr fontId="4" type="noConversion"/>
  <pageMargins left="0.35433070866141736" right="0.35433070866141736" top="0.98425196850393704" bottom="0.98425196850393704" header="0" footer="0"/>
  <pageSetup paperSize="9" scale="72" fitToWidth="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EAB6E-514E-4D45-BCE5-C4247DD64B50}">
  <sheetPr>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54</v>
      </c>
    </row>
    <row r="3" spans="1:11" x14ac:dyDescent="0.2">
      <c r="A3" s="186"/>
      <c r="B3" s="186" t="s">
        <v>2</v>
      </c>
      <c r="C3" s="186" t="s">
        <v>45</v>
      </c>
      <c r="D3" s="186" t="s">
        <v>46</v>
      </c>
      <c r="E3" s="186" t="s">
        <v>47</v>
      </c>
      <c r="F3" s="186" t="s">
        <v>49</v>
      </c>
      <c r="G3" s="186" t="s">
        <v>50</v>
      </c>
      <c r="H3" s="186" t="s">
        <v>56</v>
      </c>
      <c r="I3" s="193" t="s">
        <v>59</v>
      </c>
      <c r="J3" s="193" t="s">
        <v>58</v>
      </c>
      <c r="K3" s="193" t="s">
        <v>60</v>
      </c>
    </row>
    <row r="4" spans="1:11" x14ac:dyDescent="0.2">
      <c r="A4" s="186"/>
      <c r="B4" s="186" t="s">
        <v>48</v>
      </c>
      <c r="C4" s="186" t="s">
        <v>47</v>
      </c>
      <c r="D4" s="186" t="s">
        <v>49</v>
      </c>
      <c r="E4" s="186" t="s">
        <v>50</v>
      </c>
      <c r="F4" s="186" t="s">
        <v>56</v>
      </c>
      <c r="G4" s="186" t="s">
        <v>57</v>
      </c>
      <c r="H4" s="186" t="s">
        <v>58</v>
      </c>
      <c r="I4" s="193" t="s">
        <v>60</v>
      </c>
      <c r="J4" s="193" t="s">
        <v>61</v>
      </c>
      <c r="K4" s="194" t="s">
        <v>62</v>
      </c>
    </row>
    <row r="5" spans="1:11" x14ac:dyDescent="0.2">
      <c r="A5" s="186" t="s">
        <v>53</v>
      </c>
      <c r="B5" s="186" t="s">
        <v>51</v>
      </c>
      <c r="C5" s="187">
        <v>99.1</v>
      </c>
      <c r="D5" s="188"/>
      <c r="E5" s="188"/>
      <c r="F5" s="188"/>
      <c r="G5" s="188"/>
      <c r="H5" s="188"/>
      <c r="I5" s="188"/>
      <c r="J5" s="188"/>
      <c r="K5" s="188"/>
    </row>
    <row r="6" spans="1:11" x14ac:dyDescent="0.2">
      <c r="A6" s="191" t="s">
        <v>54</v>
      </c>
      <c r="B6" s="186" t="s">
        <v>52</v>
      </c>
      <c r="C6" s="189">
        <v>100.2</v>
      </c>
      <c r="D6" s="189">
        <v>100</v>
      </c>
      <c r="E6" s="189">
        <v>100.2</v>
      </c>
      <c r="F6" s="189">
        <v>99.9</v>
      </c>
      <c r="G6" s="189">
        <v>99.8</v>
      </c>
      <c r="H6" s="189">
        <v>100</v>
      </c>
      <c r="I6" s="189">
        <v>100.1</v>
      </c>
      <c r="J6" s="189">
        <v>100</v>
      </c>
      <c r="K6" s="189">
        <v>100</v>
      </c>
    </row>
    <row r="7" spans="1:11" x14ac:dyDescent="0.2">
      <c r="A7" s="186" t="s">
        <v>55</v>
      </c>
      <c r="B7" s="186" t="s">
        <v>51</v>
      </c>
      <c r="C7" s="188">
        <f>+C5/C6</f>
        <v>0.98902195608782428</v>
      </c>
      <c r="D7" s="190">
        <f t="shared" ref="D7:J7" si="0">+$C7*D6</f>
        <v>98.902195608782435</v>
      </c>
      <c r="E7" s="190">
        <f t="shared" si="0"/>
        <v>99.1</v>
      </c>
      <c r="F7" s="190">
        <f t="shared" si="0"/>
        <v>98.803293413173648</v>
      </c>
      <c r="G7" s="190">
        <f t="shared" si="0"/>
        <v>98.704391217564861</v>
      </c>
      <c r="H7" s="190">
        <f t="shared" si="0"/>
        <v>98.902195608782435</v>
      </c>
      <c r="I7" s="190">
        <f t="shared" si="0"/>
        <v>99.001097804391208</v>
      </c>
      <c r="J7" s="190">
        <f t="shared" si="0"/>
        <v>98.902195608782435</v>
      </c>
      <c r="K7" s="190">
        <f>+$C7*K6</f>
        <v>98.902195608782435</v>
      </c>
    </row>
  </sheetData>
  <pageMargins left="0.7" right="0.7" top="0.75" bottom="0.75" header="0.3" footer="0.3"/>
  <pageSetup paperSize="9" scale="6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B4FB2-9B97-4954-B3AE-9DFF3F274697}">
  <dimension ref="A1:R200"/>
  <sheetViews>
    <sheetView view="pageBreakPreview" topLeftCell="A177" zoomScale="130" zoomScaleNormal="100" zoomScaleSheetLayoutView="130" workbookViewId="0">
      <selection activeCell="C251" sqref="C251:C252"/>
    </sheetView>
  </sheetViews>
  <sheetFormatPr defaultRowHeight="12.75" x14ac:dyDescent="0.2"/>
  <cols>
    <col min="1" max="1" width="6.28515625" customWidth="1"/>
    <col min="2" max="2" width="10" bestFit="1" customWidth="1"/>
    <col min="4" max="4" width="13.42578125" customWidth="1"/>
    <col min="5" max="5" width="21.42578125" customWidth="1"/>
    <col min="6" max="6" width="10.7109375" customWidth="1"/>
    <col min="7" max="7" width="13.28515625" customWidth="1"/>
    <col min="8" max="8" width="11.7109375" bestFit="1" customWidth="1"/>
    <col min="10" max="10" width="16.85546875" bestFit="1" customWidth="1"/>
    <col min="11" max="11" width="15.7109375" customWidth="1"/>
    <col min="13" max="13" width="14.7109375" bestFit="1" customWidth="1"/>
    <col min="14" max="14" width="9.5703125" bestFit="1" customWidth="1"/>
    <col min="15" max="15" width="12.5703125" bestFit="1" customWidth="1"/>
    <col min="16" max="16" width="9.5703125" bestFit="1" customWidth="1"/>
  </cols>
  <sheetData>
    <row r="1" spans="1:18" x14ac:dyDescent="0.2">
      <c r="A1" s="426" t="s">
        <v>92</v>
      </c>
      <c r="B1" s="427"/>
      <c r="C1" s="427"/>
      <c r="D1" s="427"/>
      <c r="E1" s="427"/>
      <c r="F1" s="427"/>
      <c r="G1" s="427"/>
      <c r="H1" s="427"/>
      <c r="I1" s="427"/>
      <c r="J1" s="427"/>
      <c r="K1" s="427"/>
    </row>
    <row r="2" spans="1:18" hidden="1" x14ac:dyDescent="0.2">
      <c r="A2" s="420" t="s">
        <v>65</v>
      </c>
      <c r="B2" s="421"/>
      <c r="C2" s="422" t="s">
        <v>66</v>
      </c>
      <c r="D2" s="424" t="s">
        <v>74</v>
      </c>
      <c r="E2" s="405" t="s">
        <v>76</v>
      </c>
      <c r="F2" s="406"/>
      <c r="G2" s="406"/>
      <c r="H2" s="407"/>
      <c r="I2" s="416" t="s">
        <v>70</v>
      </c>
      <c r="J2" s="418" t="s">
        <v>72</v>
      </c>
      <c r="K2" s="412" t="s">
        <v>73</v>
      </c>
    </row>
    <row r="3" spans="1:18" ht="89.25" hidden="1" customHeight="1" x14ac:dyDescent="0.2">
      <c r="A3" s="414"/>
      <c r="B3" s="415"/>
      <c r="C3" s="423"/>
      <c r="D3" s="425"/>
      <c r="E3" s="208" t="s">
        <v>71</v>
      </c>
      <c r="F3" s="209" t="s">
        <v>67</v>
      </c>
      <c r="G3" s="209" t="s">
        <v>68</v>
      </c>
      <c r="H3" s="218" t="s">
        <v>69</v>
      </c>
      <c r="I3" s="417"/>
      <c r="J3" s="419"/>
      <c r="K3" s="413"/>
    </row>
    <row r="4" spans="1:18" hidden="1" x14ac:dyDescent="0.2">
      <c r="A4" s="219">
        <v>2015</v>
      </c>
      <c r="B4" s="213" t="s">
        <v>7</v>
      </c>
      <c r="C4" s="213">
        <v>2.08</v>
      </c>
      <c r="D4" s="200">
        <v>0.92</v>
      </c>
      <c r="E4" s="201">
        <v>2.976</v>
      </c>
      <c r="F4" s="202">
        <v>0.38400000000000001</v>
      </c>
      <c r="G4" s="202">
        <v>0.14599999999999999</v>
      </c>
      <c r="H4" s="210">
        <f>E4+F4+G4</f>
        <v>3.5059999999999998</v>
      </c>
      <c r="I4" s="205">
        <f>(C4+D4+H4)*0.25</f>
        <v>1.6265000000000001</v>
      </c>
      <c r="J4" s="216">
        <f>C4+D4+H4+I4</f>
        <v>8.1325000000000003</v>
      </c>
      <c r="K4" s="207">
        <v>158.30000000000001</v>
      </c>
    </row>
    <row r="5" spans="1:18" hidden="1" x14ac:dyDescent="0.2">
      <c r="A5" s="212"/>
      <c r="B5" s="213" t="s">
        <v>8</v>
      </c>
      <c r="C5" s="213">
        <v>2.0699999999999998</v>
      </c>
      <c r="D5" s="200">
        <v>0.92</v>
      </c>
      <c r="E5" s="201">
        <v>2.976</v>
      </c>
      <c r="F5" s="202">
        <v>0.38400000000000001</v>
      </c>
      <c r="G5" s="202">
        <v>0.14599999999999999</v>
      </c>
      <c r="H5" s="210">
        <f t="shared" ref="H5:H15" si="0">E5+F5+G5</f>
        <v>3.5059999999999998</v>
      </c>
      <c r="I5" s="205">
        <f t="shared" ref="I5:I15" si="1">(C5+D5+H5)*0.25</f>
        <v>1.6239999999999999</v>
      </c>
      <c r="J5" s="216">
        <f t="shared" ref="J5:J15" si="2">C5+D5+H5+I5</f>
        <v>8.1199999999999992</v>
      </c>
      <c r="K5" s="207">
        <f>$K$4*J5/$J$4</f>
        <v>158.05668613587457</v>
      </c>
    </row>
    <row r="6" spans="1:18" hidden="1" x14ac:dyDescent="0.2">
      <c r="A6" s="212"/>
      <c r="B6" s="213" t="s">
        <v>9</v>
      </c>
      <c r="C6" s="213">
        <v>1.83</v>
      </c>
      <c r="D6" s="200">
        <v>0.92</v>
      </c>
      <c r="E6" s="201">
        <v>2.976</v>
      </c>
      <c r="F6" s="202">
        <v>0.38400000000000001</v>
      </c>
      <c r="G6" s="202">
        <v>0.14599999999999999</v>
      </c>
      <c r="H6" s="210">
        <f t="shared" si="0"/>
        <v>3.5059999999999998</v>
      </c>
      <c r="I6" s="205">
        <f t="shared" si="1"/>
        <v>1.5640000000000001</v>
      </c>
      <c r="J6" s="216">
        <f t="shared" si="2"/>
        <v>7.82</v>
      </c>
      <c r="K6" s="207">
        <f t="shared" ref="K6:K15" si="3">$K$4*J6/$J$4</f>
        <v>152.21715339686446</v>
      </c>
    </row>
    <row r="7" spans="1:18" hidden="1" x14ac:dyDescent="0.2">
      <c r="A7" s="212"/>
      <c r="B7" s="213" t="s">
        <v>10</v>
      </c>
      <c r="C7" s="213">
        <v>2.04</v>
      </c>
      <c r="D7" s="200">
        <v>0.92</v>
      </c>
      <c r="E7" s="201">
        <v>2.976</v>
      </c>
      <c r="F7" s="202">
        <v>0.38400000000000001</v>
      </c>
      <c r="G7" s="202">
        <v>0.14599999999999999</v>
      </c>
      <c r="H7" s="210">
        <f t="shared" si="0"/>
        <v>3.5059999999999998</v>
      </c>
      <c r="I7" s="205">
        <f t="shared" si="1"/>
        <v>1.6164999999999998</v>
      </c>
      <c r="J7" s="216">
        <f t="shared" si="2"/>
        <v>8.0824999999999996</v>
      </c>
      <c r="K7" s="207">
        <f t="shared" si="3"/>
        <v>157.32674454349831</v>
      </c>
    </row>
    <row r="8" spans="1:18" hidden="1" x14ac:dyDescent="0.2">
      <c r="A8" s="212"/>
      <c r="B8" s="213" t="s">
        <v>11</v>
      </c>
      <c r="C8" s="213">
        <v>1.98</v>
      </c>
      <c r="D8" s="200">
        <v>0.92</v>
      </c>
      <c r="E8" s="201">
        <v>2.976</v>
      </c>
      <c r="F8" s="202">
        <v>0.38400000000000001</v>
      </c>
      <c r="G8" s="202">
        <v>0.14599999999999999</v>
      </c>
      <c r="H8" s="210">
        <f t="shared" si="0"/>
        <v>3.5059999999999998</v>
      </c>
      <c r="I8" s="205">
        <f t="shared" si="1"/>
        <v>1.6014999999999999</v>
      </c>
      <c r="J8" s="216">
        <f t="shared" si="2"/>
        <v>8.0075000000000003</v>
      </c>
      <c r="K8" s="207">
        <f t="shared" si="3"/>
        <v>155.86686135874578</v>
      </c>
    </row>
    <row r="9" spans="1:18" hidden="1" x14ac:dyDescent="0.2">
      <c r="A9" s="212"/>
      <c r="B9" s="213" t="s">
        <v>12</v>
      </c>
      <c r="C9" s="213">
        <v>1.99</v>
      </c>
      <c r="D9" s="200">
        <v>0.98</v>
      </c>
      <c r="E9" s="201">
        <v>2.976</v>
      </c>
      <c r="F9" s="202">
        <v>0.38400000000000001</v>
      </c>
      <c r="G9" s="202">
        <v>0.14599999999999999</v>
      </c>
      <c r="H9" s="210">
        <f t="shared" si="0"/>
        <v>3.5059999999999998</v>
      </c>
      <c r="I9" s="205">
        <f t="shared" si="1"/>
        <v>1.6189999999999998</v>
      </c>
      <c r="J9" s="216">
        <f t="shared" si="2"/>
        <v>8.0949999999999989</v>
      </c>
      <c r="K9" s="207">
        <f t="shared" si="3"/>
        <v>157.57005840762372</v>
      </c>
    </row>
    <row r="10" spans="1:18" hidden="1" x14ac:dyDescent="0.2">
      <c r="A10" s="212"/>
      <c r="B10" s="213" t="s">
        <v>58</v>
      </c>
      <c r="C10" s="213">
        <v>1.88</v>
      </c>
      <c r="D10" s="200">
        <v>0.98</v>
      </c>
      <c r="E10" s="201">
        <v>2.976</v>
      </c>
      <c r="F10" s="202">
        <v>0.38400000000000001</v>
      </c>
      <c r="G10" s="202">
        <v>0.14599999999999999</v>
      </c>
      <c r="H10" s="210">
        <f t="shared" si="0"/>
        <v>3.5059999999999998</v>
      </c>
      <c r="I10" s="205">
        <f t="shared" si="1"/>
        <v>1.5914999999999999</v>
      </c>
      <c r="J10" s="216">
        <f t="shared" si="2"/>
        <v>7.9574999999999996</v>
      </c>
      <c r="K10" s="207">
        <f t="shared" si="3"/>
        <v>154.89360590224408</v>
      </c>
    </row>
    <row r="11" spans="1:18" hidden="1" x14ac:dyDescent="0.2">
      <c r="A11" s="212"/>
      <c r="B11" s="213" t="s">
        <v>13</v>
      </c>
      <c r="C11" s="213">
        <v>1.88</v>
      </c>
      <c r="D11" s="200">
        <v>0.98</v>
      </c>
      <c r="E11" s="201">
        <v>2.976</v>
      </c>
      <c r="F11" s="202">
        <v>0.38400000000000001</v>
      </c>
      <c r="G11" s="202">
        <v>0.14599999999999999</v>
      </c>
      <c r="H11" s="210">
        <f t="shared" si="0"/>
        <v>3.5059999999999998</v>
      </c>
      <c r="I11" s="205">
        <f t="shared" si="1"/>
        <v>1.5914999999999999</v>
      </c>
      <c r="J11" s="216">
        <f t="shared" si="2"/>
        <v>7.9574999999999996</v>
      </c>
      <c r="K11" s="207">
        <f t="shared" si="3"/>
        <v>154.89360590224408</v>
      </c>
    </row>
    <row r="12" spans="1:18" hidden="1" x14ac:dyDescent="0.2">
      <c r="A12" s="212"/>
      <c r="B12" s="213" t="s">
        <v>14</v>
      </c>
      <c r="C12" s="236">
        <v>1.9</v>
      </c>
      <c r="D12" s="200">
        <v>0.98</v>
      </c>
      <c r="E12" s="201">
        <v>2.976</v>
      </c>
      <c r="F12" s="202">
        <v>0.38400000000000001</v>
      </c>
      <c r="G12" s="202">
        <v>0.14599999999999999</v>
      </c>
      <c r="H12" s="210">
        <f t="shared" si="0"/>
        <v>3.5059999999999998</v>
      </c>
      <c r="I12" s="205">
        <f t="shared" si="1"/>
        <v>1.5964999999999998</v>
      </c>
      <c r="J12" s="216">
        <f t="shared" si="2"/>
        <v>7.982499999999999</v>
      </c>
      <c r="K12" s="207">
        <f t="shared" si="3"/>
        <v>155.3802336304949</v>
      </c>
    </row>
    <row r="13" spans="1:18" hidden="1" x14ac:dyDescent="0.2">
      <c r="A13" s="212"/>
      <c r="B13" s="213" t="s">
        <v>15</v>
      </c>
      <c r="C13" s="213">
        <v>1.79</v>
      </c>
      <c r="D13" s="200">
        <v>0.98</v>
      </c>
      <c r="E13" s="201">
        <v>2.976</v>
      </c>
      <c r="F13" s="202">
        <v>0.38400000000000001</v>
      </c>
      <c r="G13" s="202">
        <v>0.14599999999999999</v>
      </c>
      <c r="H13" s="210">
        <f t="shared" si="0"/>
        <v>3.5059999999999998</v>
      </c>
      <c r="I13" s="205">
        <f t="shared" si="1"/>
        <v>1.569</v>
      </c>
      <c r="J13" s="216">
        <f t="shared" si="2"/>
        <v>7.8449999999999998</v>
      </c>
      <c r="K13" s="207">
        <f t="shared" si="3"/>
        <v>152.70378112511528</v>
      </c>
    </row>
    <row r="14" spans="1:18" hidden="1" x14ac:dyDescent="0.2">
      <c r="A14" s="212"/>
      <c r="B14" s="213" t="s">
        <v>16</v>
      </c>
      <c r="C14" s="213">
        <v>1.74</v>
      </c>
      <c r="D14" s="200">
        <v>0.98</v>
      </c>
      <c r="E14" s="201">
        <v>2.976</v>
      </c>
      <c r="F14" s="202">
        <v>0.38400000000000001</v>
      </c>
      <c r="G14" s="202">
        <v>0.14599999999999999</v>
      </c>
      <c r="H14" s="210">
        <f t="shared" si="0"/>
        <v>3.5059999999999998</v>
      </c>
      <c r="I14" s="205">
        <f t="shared" si="1"/>
        <v>1.5564999999999998</v>
      </c>
      <c r="J14" s="216">
        <f t="shared" si="2"/>
        <v>7.7824999999999989</v>
      </c>
      <c r="K14" s="207">
        <f t="shared" si="3"/>
        <v>151.48721180448817</v>
      </c>
    </row>
    <row r="15" spans="1:18" hidden="1" x14ac:dyDescent="0.2">
      <c r="A15" s="214"/>
      <c r="B15" s="215" t="s">
        <v>17</v>
      </c>
      <c r="C15" s="215">
        <v>1.66</v>
      </c>
      <c r="D15" s="234">
        <v>0.98</v>
      </c>
      <c r="E15" s="203">
        <v>2.976</v>
      </c>
      <c r="F15" s="204">
        <v>0.38400000000000001</v>
      </c>
      <c r="G15" s="204">
        <v>0.14599999999999999</v>
      </c>
      <c r="H15" s="211">
        <f t="shared" si="0"/>
        <v>3.5059999999999998</v>
      </c>
      <c r="I15" s="206">
        <f t="shared" si="1"/>
        <v>1.5364999999999998</v>
      </c>
      <c r="J15" s="217">
        <f t="shared" si="2"/>
        <v>7.6824999999999992</v>
      </c>
      <c r="K15" s="235">
        <f t="shared" si="3"/>
        <v>149.54070089148479</v>
      </c>
    </row>
    <row r="16" spans="1:18" hidden="1" x14ac:dyDescent="0.2">
      <c r="A16" s="420" t="s">
        <v>65</v>
      </c>
      <c r="B16" s="421"/>
      <c r="C16" s="422" t="s">
        <v>66</v>
      </c>
      <c r="D16" s="424" t="s">
        <v>74</v>
      </c>
      <c r="E16" s="405" t="s">
        <v>76</v>
      </c>
      <c r="F16" s="406"/>
      <c r="G16" s="406"/>
      <c r="H16" s="407"/>
      <c r="I16" s="416" t="s">
        <v>70</v>
      </c>
      <c r="J16" s="418" t="s">
        <v>72</v>
      </c>
      <c r="K16" s="412" t="s">
        <v>73</v>
      </c>
      <c r="R16" s="2"/>
    </row>
    <row r="17" spans="1:11" ht="108" hidden="1" customHeight="1" x14ac:dyDescent="0.2">
      <c r="A17" s="414"/>
      <c r="B17" s="415"/>
      <c r="C17" s="423"/>
      <c r="D17" s="425"/>
      <c r="E17" s="208" t="s">
        <v>71</v>
      </c>
      <c r="F17" s="209" t="s">
        <v>67</v>
      </c>
      <c r="G17" s="209" t="s">
        <v>68</v>
      </c>
      <c r="H17" s="218" t="s">
        <v>69</v>
      </c>
      <c r="I17" s="417"/>
      <c r="J17" s="419"/>
      <c r="K17" s="413"/>
    </row>
    <row r="18" spans="1:11" hidden="1" x14ac:dyDescent="0.2">
      <c r="A18" s="243">
        <v>2017</v>
      </c>
      <c r="B18" s="213" t="s">
        <v>7</v>
      </c>
      <c r="C18" s="236">
        <v>1.6</v>
      </c>
      <c r="D18" s="200">
        <v>1.04</v>
      </c>
      <c r="E18" s="244">
        <v>3.0179999999999998</v>
      </c>
      <c r="F18" s="202">
        <v>0.38900000000000001</v>
      </c>
      <c r="G18" s="202">
        <v>2.8000000000000001E-2</v>
      </c>
      <c r="H18" s="210">
        <f>E18+F18+G18</f>
        <v>3.4350000000000001</v>
      </c>
      <c r="I18" s="205">
        <f>(C18+D18+H18)*0.25</f>
        <v>1.51875</v>
      </c>
      <c r="J18" s="216">
        <f>C18+D18+H18+I18</f>
        <v>7.59375</v>
      </c>
      <c r="K18" s="207">
        <f>$K$4*J18/$J$4</f>
        <v>147.81317245619428</v>
      </c>
    </row>
    <row r="19" spans="1:11" hidden="1" x14ac:dyDescent="0.2">
      <c r="A19" s="212"/>
      <c r="B19" s="213" t="s">
        <v>8</v>
      </c>
      <c r="C19" s="213">
        <v>1.54</v>
      </c>
      <c r="D19" s="200">
        <v>1.04</v>
      </c>
      <c r="E19" s="244">
        <v>3.0179999999999998</v>
      </c>
      <c r="F19" s="202">
        <v>0.38900000000000001</v>
      </c>
      <c r="G19" s="202">
        <v>2.8000000000000001E-2</v>
      </c>
      <c r="H19" s="210">
        <f t="shared" ref="H19:H29" si="4">E19+F19+G19</f>
        <v>3.4350000000000001</v>
      </c>
      <c r="I19" s="205">
        <f t="shared" ref="I19:I28" si="5">(C19+D19+H19)*0.25</f>
        <v>1.5037500000000001</v>
      </c>
      <c r="J19" s="216">
        <f t="shared" ref="J19:J29" si="6">C19+D19+H19+I19</f>
        <v>7.5187500000000007</v>
      </c>
      <c r="K19" s="207">
        <f t="shared" ref="K19:K29" si="7">$K$4*J19/$J$4</f>
        <v>146.35328927144175</v>
      </c>
    </row>
    <row r="20" spans="1:11" hidden="1" x14ac:dyDescent="0.2">
      <c r="A20" s="212"/>
      <c r="B20" s="213" t="s">
        <v>9</v>
      </c>
      <c r="C20" s="213">
        <v>1.72</v>
      </c>
      <c r="D20" s="200">
        <v>1.04</v>
      </c>
      <c r="E20" s="244">
        <v>3.0179999999999998</v>
      </c>
      <c r="F20" s="202">
        <v>0.38900000000000001</v>
      </c>
      <c r="G20" s="202">
        <v>2.8000000000000001E-2</v>
      </c>
      <c r="H20" s="210">
        <f t="shared" si="4"/>
        <v>3.4350000000000001</v>
      </c>
      <c r="I20" s="205">
        <f t="shared" si="5"/>
        <v>1.5487500000000001</v>
      </c>
      <c r="J20" s="216">
        <f t="shared" si="6"/>
        <v>7.7437500000000004</v>
      </c>
      <c r="K20" s="207">
        <f t="shared" si="7"/>
        <v>150.73293882569936</v>
      </c>
    </row>
    <row r="21" spans="1:11" hidden="1" x14ac:dyDescent="0.2">
      <c r="A21" s="212"/>
      <c r="B21" s="213" t="s">
        <v>10</v>
      </c>
      <c r="C21" s="213">
        <v>1.69</v>
      </c>
      <c r="D21" s="200">
        <v>1.04</v>
      </c>
      <c r="E21" s="244">
        <v>3.0179999999999998</v>
      </c>
      <c r="F21" s="202">
        <v>0.38900000000000001</v>
      </c>
      <c r="G21" s="202">
        <v>2.8000000000000001E-2</v>
      </c>
      <c r="H21" s="210">
        <f t="shared" si="4"/>
        <v>3.4350000000000001</v>
      </c>
      <c r="I21" s="205">
        <f t="shared" si="5"/>
        <v>1.54125</v>
      </c>
      <c r="J21" s="216">
        <f t="shared" si="6"/>
        <v>7.7062499999999998</v>
      </c>
      <c r="K21" s="207">
        <f t="shared" si="7"/>
        <v>150.00299723332307</v>
      </c>
    </row>
    <row r="22" spans="1:11" hidden="1" x14ac:dyDescent="0.2">
      <c r="A22" s="212"/>
      <c r="B22" s="213" t="s">
        <v>11</v>
      </c>
      <c r="C22" s="236">
        <v>1.4</v>
      </c>
      <c r="D22" s="200">
        <v>1.04</v>
      </c>
      <c r="E22" s="244">
        <v>3.0179999999999998</v>
      </c>
      <c r="F22" s="202">
        <v>0.38900000000000001</v>
      </c>
      <c r="G22" s="202">
        <v>2.8000000000000001E-2</v>
      </c>
      <c r="H22" s="210">
        <f t="shared" si="4"/>
        <v>3.4350000000000001</v>
      </c>
      <c r="I22" s="205">
        <f t="shared" si="5"/>
        <v>1.46875</v>
      </c>
      <c r="J22" s="216">
        <f t="shared" si="6"/>
        <v>7.34375</v>
      </c>
      <c r="K22" s="207">
        <f t="shared" si="7"/>
        <v>142.94689517368582</v>
      </c>
    </row>
    <row r="23" spans="1:11" hidden="1" x14ac:dyDescent="0.2">
      <c r="A23" s="212"/>
      <c r="B23" s="213" t="s">
        <v>12</v>
      </c>
      <c r="C23" s="213">
        <v>1.39</v>
      </c>
      <c r="D23" s="200">
        <v>1.0900000000000001</v>
      </c>
      <c r="E23" s="250">
        <v>3.0179999999999998</v>
      </c>
      <c r="F23" s="202">
        <v>0.38900000000000001</v>
      </c>
      <c r="G23" s="202">
        <v>2.8000000000000001E-2</v>
      </c>
      <c r="H23" s="210">
        <f t="shared" si="4"/>
        <v>3.4350000000000001</v>
      </c>
      <c r="I23" s="205">
        <f t="shared" si="5"/>
        <v>1.47875</v>
      </c>
      <c r="J23" s="216">
        <f t="shared" si="6"/>
        <v>7.3937499999999998</v>
      </c>
      <c r="K23" s="207">
        <f t="shared" si="7"/>
        <v>143.92015063018752</v>
      </c>
    </row>
    <row r="24" spans="1:11" hidden="1" x14ac:dyDescent="0.2">
      <c r="A24" s="212"/>
      <c r="B24" s="213" t="s">
        <v>58</v>
      </c>
      <c r="C24" s="213">
        <v>1.35</v>
      </c>
      <c r="D24" s="200">
        <v>1.0900000000000001</v>
      </c>
      <c r="E24" s="244">
        <v>3.0179999999999998</v>
      </c>
      <c r="F24" s="202">
        <v>0.38900000000000001</v>
      </c>
      <c r="G24" s="202">
        <v>2.8000000000000001E-2</v>
      </c>
      <c r="H24" s="210">
        <f t="shared" si="4"/>
        <v>3.4350000000000001</v>
      </c>
      <c r="I24" s="205">
        <f t="shared" si="5"/>
        <v>1.46875</v>
      </c>
      <c r="J24" s="216">
        <f t="shared" si="6"/>
        <v>7.34375</v>
      </c>
      <c r="K24" s="207">
        <f t="shared" si="7"/>
        <v>142.94689517368582</v>
      </c>
    </row>
    <row r="25" spans="1:11" hidden="1" x14ac:dyDescent="0.2">
      <c r="A25" s="212"/>
      <c r="B25" s="213" t="s">
        <v>13</v>
      </c>
      <c r="C25" s="213">
        <v>1.32</v>
      </c>
      <c r="D25" s="200">
        <v>1.0900000000000001</v>
      </c>
      <c r="E25" s="244">
        <v>3.0179999999999998</v>
      </c>
      <c r="F25" s="202">
        <v>0.38900000000000001</v>
      </c>
      <c r="G25" s="202">
        <v>2.8000000000000001E-2</v>
      </c>
      <c r="H25" s="210">
        <f t="shared" si="4"/>
        <v>3.4350000000000001</v>
      </c>
      <c r="I25" s="205">
        <f t="shared" si="5"/>
        <v>1.4612500000000002</v>
      </c>
      <c r="J25" s="216">
        <f t="shared" si="6"/>
        <v>7.3062500000000004</v>
      </c>
      <c r="K25" s="207">
        <f t="shared" si="7"/>
        <v>142.21695358130955</v>
      </c>
    </row>
    <row r="26" spans="1:11" hidden="1" x14ac:dyDescent="0.2">
      <c r="A26" s="212"/>
      <c r="B26" s="213" t="s">
        <v>14</v>
      </c>
      <c r="C26" s="236">
        <v>1.3</v>
      </c>
      <c r="D26" s="275">
        <v>1.06</v>
      </c>
      <c r="E26" s="244">
        <v>3.0179999999999998</v>
      </c>
      <c r="F26" s="202">
        <v>0.38900000000000001</v>
      </c>
      <c r="G26" s="202">
        <v>2.8000000000000001E-2</v>
      </c>
      <c r="H26" s="210">
        <f t="shared" si="4"/>
        <v>3.4350000000000001</v>
      </c>
      <c r="I26" s="205">
        <f t="shared" si="5"/>
        <v>1.44875</v>
      </c>
      <c r="J26" s="216">
        <f t="shared" si="6"/>
        <v>7.2437500000000004</v>
      </c>
      <c r="K26" s="207">
        <f t="shared" si="7"/>
        <v>141.00038426068244</v>
      </c>
    </row>
    <row r="27" spans="1:11" hidden="1" x14ac:dyDescent="0.2">
      <c r="A27" s="212"/>
      <c r="B27" s="213" t="s">
        <v>15</v>
      </c>
      <c r="C27" s="213">
        <v>1.36</v>
      </c>
      <c r="D27" s="275">
        <v>1.06</v>
      </c>
      <c r="E27" s="244">
        <v>3.0179999999999998</v>
      </c>
      <c r="F27" s="202">
        <v>0.38900000000000001</v>
      </c>
      <c r="G27" s="202">
        <v>2.8000000000000001E-2</v>
      </c>
      <c r="H27" s="210">
        <f t="shared" si="4"/>
        <v>3.4350000000000001</v>
      </c>
      <c r="I27" s="205">
        <f t="shared" si="5"/>
        <v>1.4637500000000001</v>
      </c>
      <c r="J27" s="216">
        <f t="shared" si="6"/>
        <v>7.3187500000000005</v>
      </c>
      <c r="K27" s="207">
        <f t="shared" si="7"/>
        <v>142.46026744543502</v>
      </c>
    </row>
    <row r="28" spans="1:11" hidden="1" x14ac:dyDescent="0.2">
      <c r="A28" s="212"/>
      <c r="B28" s="213" t="s">
        <v>16</v>
      </c>
      <c r="C28" s="213">
        <v>1.48</v>
      </c>
      <c r="D28" s="200">
        <v>1.07</v>
      </c>
      <c r="E28" s="244">
        <v>3.0179999999999998</v>
      </c>
      <c r="F28" s="202">
        <v>0.38900000000000001</v>
      </c>
      <c r="G28" s="202">
        <v>2.8000000000000001E-2</v>
      </c>
      <c r="H28" s="210">
        <f t="shared" si="4"/>
        <v>3.4350000000000001</v>
      </c>
      <c r="I28" s="205">
        <f t="shared" si="5"/>
        <v>1.4962499999999999</v>
      </c>
      <c r="J28" s="216">
        <f t="shared" si="6"/>
        <v>7.4812499999999993</v>
      </c>
      <c r="K28" s="207">
        <f t="shared" si="7"/>
        <v>145.62334767906546</v>
      </c>
    </row>
    <row r="29" spans="1:11" hidden="1" x14ac:dyDescent="0.2">
      <c r="A29" s="214"/>
      <c r="B29" s="215" t="s">
        <v>17</v>
      </c>
      <c r="C29" s="215">
        <v>1.53</v>
      </c>
      <c r="D29" s="234">
        <v>1.07</v>
      </c>
      <c r="E29" s="203">
        <v>3.0179999999999998</v>
      </c>
      <c r="F29" s="204">
        <v>0.38900000000000001</v>
      </c>
      <c r="G29" s="204">
        <v>2.8000000000000001E-2</v>
      </c>
      <c r="H29" s="211">
        <f t="shared" si="4"/>
        <v>3.4350000000000001</v>
      </c>
      <c r="I29" s="206">
        <f>(C29+D29+H29)*0.25</f>
        <v>1.50875</v>
      </c>
      <c r="J29" s="217">
        <f t="shared" si="6"/>
        <v>7.5437500000000002</v>
      </c>
      <c r="K29" s="235">
        <f t="shared" si="7"/>
        <v>146.8399169996926</v>
      </c>
    </row>
    <row r="30" spans="1:11" hidden="1" x14ac:dyDescent="0.2">
      <c r="A30" s="399" t="s">
        <v>65</v>
      </c>
      <c r="B30" s="400"/>
      <c r="C30" s="401" t="s">
        <v>66</v>
      </c>
      <c r="D30" s="403" t="s">
        <v>90</v>
      </c>
      <c r="E30" s="405" t="s">
        <v>76</v>
      </c>
      <c r="F30" s="406"/>
      <c r="G30" s="406"/>
      <c r="H30" s="407"/>
      <c r="I30" s="408" t="s">
        <v>70</v>
      </c>
      <c r="J30" s="410" t="s">
        <v>72</v>
      </c>
      <c r="K30" s="395" t="s">
        <v>91</v>
      </c>
    </row>
    <row r="31" spans="1:11" ht="94.5" hidden="1" customHeight="1" x14ac:dyDescent="0.2">
      <c r="A31" s="397"/>
      <c r="B31" s="398"/>
      <c r="C31" s="402"/>
      <c r="D31" s="404"/>
      <c r="E31" s="322" t="s">
        <v>71</v>
      </c>
      <c r="F31" s="323" t="s">
        <v>67</v>
      </c>
      <c r="G31" s="323" t="s">
        <v>68</v>
      </c>
      <c r="H31" s="324" t="s">
        <v>69</v>
      </c>
      <c r="I31" s="409"/>
      <c r="J31" s="411"/>
      <c r="K31" s="396"/>
    </row>
    <row r="32" spans="1:11" hidden="1" x14ac:dyDescent="0.2">
      <c r="A32" s="321">
        <v>2018</v>
      </c>
      <c r="B32" s="302" t="s">
        <v>7</v>
      </c>
      <c r="C32" s="310">
        <v>1.66</v>
      </c>
      <c r="D32" s="303">
        <v>1.07</v>
      </c>
      <c r="E32" s="329">
        <v>3.01</v>
      </c>
      <c r="F32" s="305">
        <v>0.39100000000000001</v>
      </c>
      <c r="G32" s="305">
        <v>2.9000000000000001E-2</v>
      </c>
      <c r="H32" s="306">
        <f>E32+F32+G32</f>
        <v>3.4299999999999997</v>
      </c>
      <c r="I32" s="307">
        <f>(C32+D32+H32)*0.25</f>
        <v>1.54</v>
      </c>
      <c r="J32" s="308">
        <f>C32+D32+H32+I32</f>
        <v>7.7</v>
      </c>
      <c r="K32" s="309">
        <f>$K$4*J32/$J$4</f>
        <v>149.88134030126037</v>
      </c>
    </row>
    <row r="33" spans="1:12" hidden="1" x14ac:dyDescent="0.2">
      <c r="A33" s="301"/>
      <c r="B33" s="302" t="s">
        <v>8</v>
      </c>
      <c r="C33" s="302">
        <v>1.75</v>
      </c>
      <c r="D33" s="303">
        <v>1.07</v>
      </c>
      <c r="E33" s="329">
        <v>3.01</v>
      </c>
      <c r="F33" s="305">
        <v>0.39100000000000001</v>
      </c>
      <c r="G33" s="305">
        <v>2.9000000000000001E-2</v>
      </c>
      <c r="H33" s="306">
        <f t="shared" ref="H33:H43" si="8">E33+F33+G33</f>
        <v>3.4299999999999997</v>
      </c>
      <c r="I33" s="307">
        <f t="shared" ref="I33:I42" si="9">(C33+D33+H33)*0.25</f>
        <v>1.5625</v>
      </c>
      <c r="J33" s="308">
        <f t="shared" ref="J33:J43" si="10">C33+D33+H33+I33</f>
        <v>7.8125</v>
      </c>
      <c r="K33" s="309">
        <f t="shared" ref="K33:K43" si="11">$K$4*J33/$J$4</f>
        <v>152.07116507838919</v>
      </c>
    </row>
    <row r="34" spans="1:12" hidden="1" x14ac:dyDescent="0.2">
      <c r="A34" s="301"/>
      <c r="B34" s="302" t="s">
        <v>9</v>
      </c>
      <c r="C34" s="302">
        <v>1.61</v>
      </c>
      <c r="D34" s="303">
        <v>1.07</v>
      </c>
      <c r="E34" s="329">
        <v>3.01</v>
      </c>
      <c r="F34" s="305">
        <v>0.39100000000000001</v>
      </c>
      <c r="G34" s="305">
        <v>2.9000000000000001E-2</v>
      </c>
      <c r="H34" s="306">
        <f t="shared" si="8"/>
        <v>3.4299999999999997</v>
      </c>
      <c r="I34" s="307">
        <f t="shared" si="9"/>
        <v>1.5274999999999999</v>
      </c>
      <c r="J34" s="308">
        <f t="shared" si="10"/>
        <v>7.6374999999999993</v>
      </c>
      <c r="K34" s="309">
        <f t="shared" si="11"/>
        <v>148.66477098063325</v>
      </c>
    </row>
    <row r="35" spans="1:12" hidden="1" x14ac:dyDescent="0.2">
      <c r="A35" s="301"/>
      <c r="B35" s="302" t="s">
        <v>10</v>
      </c>
      <c r="C35" s="310">
        <v>1.7</v>
      </c>
      <c r="D35" s="303">
        <v>1.0900000000000001</v>
      </c>
      <c r="E35" s="329">
        <v>3.01</v>
      </c>
      <c r="F35" s="305">
        <v>0.39100000000000001</v>
      </c>
      <c r="G35" s="305">
        <v>2.9000000000000001E-2</v>
      </c>
      <c r="H35" s="306">
        <f t="shared" si="8"/>
        <v>3.4299999999999997</v>
      </c>
      <c r="I35" s="307">
        <f t="shared" si="9"/>
        <v>1.5549999999999999</v>
      </c>
      <c r="J35" s="308">
        <f t="shared" si="10"/>
        <v>7.7749999999999995</v>
      </c>
      <c r="K35" s="309">
        <f t="shared" si="11"/>
        <v>151.34122348601292</v>
      </c>
    </row>
    <row r="36" spans="1:12" hidden="1" x14ac:dyDescent="0.2">
      <c r="A36" s="301"/>
      <c r="B36" s="302" t="s">
        <v>11</v>
      </c>
      <c r="C36" s="310">
        <v>2.2200000000000002</v>
      </c>
      <c r="D36" s="303">
        <v>1.07</v>
      </c>
      <c r="E36" s="329">
        <v>3.01</v>
      </c>
      <c r="F36" s="305">
        <v>0.39100000000000001</v>
      </c>
      <c r="G36" s="305">
        <v>2.9000000000000001E-2</v>
      </c>
      <c r="H36" s="306">
        <f t="shared" si="8"/>
        <v>3.4299999999999997</v>
      </c>
      <c r="I36" s="307">
        <f t="shared" si="9"/>
        <v>1.68</v>
      </c>
      <c r="J36" s="308">
        <f t="shared" si="10"/>
        <v>8.4</v>
      </c>
      <c r="K36" s="309">
        <f t="shared" si="11"/>
        <v>163.50691669228408</v>
      </c>
    </row>
    <row r="37" spans="1:12" hidden="1" x14ac:dyDescent="0.2">
      <c r="A37" s="301"/>
      <c r="B37" s="302" t="s">
        <v>12</v>
      </c>
      <c r="C37" s="302">
        <v>1.73</v>
      </c>
      <c r="D37" s="303">
        <v>1.1399999999999999</v>
      </c>
      <c r="E37" s="330">
        <v>3.01</v>
      </c>
      <c r="F37" s="305">
        <v>0.39100000000000001</v>
      </c>
      <c r="G37" s="305">
        <v>2.9000000000000001E-2</v>
      </c>
      <c r="H37" s="306">
        <f t="shared" si="8"/>
        <v>3.4299999999999997</v>
      </c>
      <c r="I37" s="307">
        <f t="shared" si="9"/>
        <v>1.575</v>
      </c>
      <c r="J37" s="308">
        <f t="shared" si="10"/>
        <v>7.875</v>
      </c>
      <c r="K37" s="309">
        <f t="shared" si="11"/>
        <v>153.2877343990163</v>
      </c>
    </row>
    <row r="38" spans="1:12" hidden="1" x14ac:dyDescent="0.2">
      <c r="A38" s="301"/>
      <c r="B38" s="302" t="s">
        <v>58</v>
      </c>
      <c r="C38" s="310">
        <v>1.9</v>
      </c>
      <c r="D38" s="303">
        <v>1.1399999999999999</v>
      </c>
      <c r="E38" s="329">
        <v>3.01</v>
      </c>
      <c r="F38" s="305">
        <v>0.39100000000000001</v>
      </c>
      <c r="G38" s="305">
        <v>2.9000000000000001E-2</v>
      </c>
      <c r="H38" s="306">
        <f t="shared" si="8"/>
        <v>3.4299999999999997</v>
      </c>
      <c r="I38" s="307">
        <f t="shared" si="9"/>
        <v>1.6174999999999999</v>
      </c>
      <c r="J38" s="308">
        <f t="shared" si="10"/>
        <v>8.0875000000000004</v>
      </c>
      <c r="K38" s="309">
        <f t="shared" si="11"/>
        <v>157.4240700891485</v>
      </c>
    </row>
    <row r="39" spans="1:12" hidden="1" x14ac:dyDescent="0.2">
      <c r="A39" s="301"/>
      <c r="B39" s="302" t="s">
        <v>13</v>
      </c>
      <c r="C39" s="302">
        <v>1.93</v>
      </c>
      <c r="D39" s="303">
        <v>1.1499999999999999</v>
      </c>
      <c r="E39" s="329">
        <v>3.01</v>
      </c>
      <c r="F39" s="305">
        <v>0.39100000000000001</v>
      </c>
      <c r="G39" s="305">
        <v>2.9000000000000001E-2</v>
      </c>
      <c r="H39" s="306">
        <f t="shared" si="8"/>
        <v>3.4299999999999997</v>
      </c>
      <c r="I39" s="307">
        <f t="shared" si="9"/>
        <v>1.6274999999999999</v>
      </c>
      <c r="J39" s="308">
        <f t="shared" si="10"/>
        <v>8.1374999999999993</v>
      </c>
      <c r="K39" s="309">
        <f t="shared" si="11"/>
        <v>158.39732554565018</v>
      </c>
    </row>
    <row r="40" spans="1:12" hidden="1" x14ac:dyDescent="0.2">
      <c r="A40" s="301"/>
      <c r="B40" s="302" t="s">
        <v>14</v>
      </c>
      <c r="C40" s="310">
        <v>1.94</v>
      </c>
      <c r="D40" s="311">
        <v>1.1399999999999999</v>
      </c>
      <c r="E40" s="329">
        <v>3.01</v>
      </c>
      <c r="F40" s="305">
        <v>0.39100000000000001</v>
      </c>
      <c r="G40" s="305">
        <v>2.9000000000000001E-2</v>
      </c>
      <c r="H40" s="306">
        <f t="shared" si="8"/>
        <v>3.4299999999999997</v>
      </c>
      <c r="I40" s="307">
        <f t="shared" si="9"/>
        <v>1.6274999999999999</v>
      </c>
      <c r="J40" s="308">
        <f t="shared" si="10"/>
        <v>8.1374999999999993</v>
      </c>
      <c r="K40" s="309">
        <f t="shared" si="11"/>
        <v>158.39732554565018</v>
      </c>
    </row>
    <row r="41" spans="1:12" hidden="1" x14ac:dyDescent="0.2">
      <c r="A41" s="301"/>
      <c r="B41" s="302" t="s">
        <v>15</v>
      </c>
      <c r="C41" s="302">
        <v>2.09</v>
      </c>
      <c r="D41" s="311">
        <v>1.18</v>
      </c>
      <c r="E41" s="329">
        <v>3.01</v>
      </c>
      <c r="F41" s="305">
        <v>0.39100000000000001</v>
      </c>
      <c r="G41" s="305">
        <v>2.9000000000000001E-2</v>
      </c>
      <c r="H41" s="306">
        <f t="shared" si="8"/>
        <v>3.4299999999999997</v>
      </c>
      <c r="I41" s="307">
        <f t="shared" si="9"/>
        <v>1.6749999999999998</v>
      </c>
      <c r="J41" s="308">
        <f t="shared" si="10"/>
        <v>8.375</v>
      </c>
      <c r="K41" s="309">
        <f t="shared" si="11"/>
        <v>163.0202889640332</v>
      </c>
    </row>
    <row r="42" spans="1:12" hidden="1" x14ac:dyDescent="0.2">
      <c r="A42" s="301"/>
      <c r="B42" s="302" t="s">
        <v>16</v>
      </c>
      <c r="C42" s="302">
        <v>2.42</v>
      </c>
      <c r="D42" s="303">
        <v>1.19</v>
      </c>
      <c r="E42" s="329">
        <v>3.01</v>
      </c>
      <c r="F42" s="305">
        <v>0.39100000000000001</v>
      </c>
      <c r="G42" s="305">
        <v>2.9000000000000001E-2</v>
      </c>
      <c r="H42" s="306">
        <f t="shared" si="8"/>
        <v>3.4299999999999997</v>
      </c>
      <c r="I42" s="307">
        <f t="shared" si="9"/>
        <v>1.7599999999999998</v>
      </c>
      <c r="J42" s="308">
        <f t="shared" si="10"/>
        <v>8.7999999999999989</v>
      </c>
      <c r="K42" s="309">
        <f t="shared" si="11"/>
        <v>171.29296034429757</v>
      </c>
    </row>
    <row r="43" spans="1:12" hidden="1" x14ac:dyDescent="0.2">
      <c r="A43" s="312"/>
      <c r="B43" s="313" t="s">
        <v>17</v>
      </c>
      <c r="C43" s="313">
        <v>2.29</v>
      </c>
      <c r="D43" s="314">
        <v>1.1399999999999999</v>
      </c>
      <c r="E43" s="331">
        <v>3.01</v>
      </c>
      <c r="F43" s="316">
        <v>0.39100000000000001</v>
      </c>
      <c r="G43" s="316">
        <v>2.9000000000000001E-2</v>
      </c>
      <c r="H43" s="317">
        <f t="shared" si="8"/>
        <v>3.4299999999999997</v>
      </c>
      <c r="I43" s="318">
        <f>(C43+D43+H43)*0.25</f>
        <v>1.7149999999999999</v>
      </c>
      <c r="J43" s="319">
        <f t="shared" si="10"/>
        <v>8.5749999999999993</v>
      </c>
      <c r="K43" s="320">
        <f t="shared" si="11"/>
        <v>166.91331079003996</v>
      </c>
    </row>
    <row r="44" spans="1:12" hidden="1" x14ac:dyDescent="0.2">
      <c r="A44" s="300"/>
      <c r="B44" s="300"/>
      <c r="C44" s="67"/>
      <c r="D44" s="67"/>
      <c r="E44" s="67"/>
      <c r="F44" s="67"/>
      <c r="G44" s="67"/>
      <c r="H44" s="67"/>
      <c r="I44" s="199"/>
      <c r="J44" s="199"/>
      <c r="K44" s="199"/>
      <c r="L44" s="199"/>
    </row>
    <row r="45" spans="1:12" hidden="1" x14ac:dyDescent="0.2">
      <c r="A45" s="399" t="s">
        <v>65</v>
      </c>
      <c r="B45" s="400"/>
      <c r="C45" s="401" t="s">
        <v>66</v>
      </c>
      <c r="D45" s="403" t="s">
        <v>90</v>
      </c>
      <c r="E45" s="405" t="s">
        <v>76</v>
      </c>
      <c r="F45" s="406"/>
      <c r="G45" s="406"/>
      <c r="H45" s="407"/>
      <c r="I45" s="408" t="s">
        <v>70</v>
      </c>
      <c r="J45" s="410" t="s">
        <v>72</v>
      </c>
      <c r="K45" s="395" t="s">
        <v>91</v>
      </c>
    </row>
    <row r="46" spans="1:12" ht="92.25" hidden="1" customHeight="1" x14ac:dyDescent="0.2">
      <c r="A46" s="397"/>
      <c r="B46" s="398"/>
      <c r="C46" s="402"/>
      <c r="D46" s="404"/>
      <c r="E46" s="322" t="s">
        <v>71</v>
      </c>
      <c r="F46" s="323" t="s">
        <v>67</v>
      </c>
      <c r="G46" s="323" t="s">
        <v>68</v>
      </c>
      <c r="H46" s="324" t="s">
        <v>69</v>
      </c>
      <c r="I46" s="409"/>
      <c r="J46" s="411"/>
      <c r="K46" s="396"/>
    </row>
    <row r="47" spans="1:12" hidden="1" x14ac:dyDescent="0.2">
      <c r="A47" s="321">
        <v>2019</v>
      </c>
      <c r="B47" s="302" t="s">
        <v>7</v>
      </c>
      <c r="C47" s="310">
        <v>2.1800000000000002</v>
      </c>
      <c r="D47" s="303">
        <v>1.18</v>
      </c>
      <c r="E47" s="304">
        <v>3.0459999999999998</v>
      </c>
      <c r="F47" s="305">
        <v>0.39600000000000002</v>
      </c>
      <c r="G47" s="305">
        <v>2.9000000000000001E-2</v>
      </c>
      <c r="H47" s="306">
        <f>E47+F47+G47</f>
        <v>3.4709999999999996</v>
      </c>
      <c r="I47" s="307">
        <f>(C47+D47+H47)*0.25</f>
        <v>1.7077499999999999</v>
      </c>
      <c r="J47" s="308">
        <f>C47+D47+H47+I47</f>
        <v>8.5387500000000003</v>
      </c>
      <c r="K47" s="309">
        <f>$K$4*J47/$J$4</f>
        <v>166.20770058407626</v>
      </c>
    </row>
    <row r="48" spans="1:12" hidden="1" x14ac:dyDescent="0.2">
      <c r="A48" s="301"/>
      <c r="B48" s="302" t="s">
        <v>8</v>
      </c>
      <c r="C48" s="302">
        <v>2.11</v>
      </c>
      <c r="D48" s="303">
        <v>1.1599999999999999</v>
      </c>
      <c r="E48" s="304">
        <v>3.0459999999999998</v>
      </c>
      <c r="F48" s="305">
        <v>0.39600000000000002</v>
      </c>
      <c r="G48" s="305">
        <v>2.9000000000000001E-2</v>
      </c>
      <c r="H48" s="306">
        <f t="shared" ref="H48:H58" si="12">E48+F48+G48</f>
        <v>3.4709999999999996</v>
      </c>
      <c r="I48" s="307">
        <f t="shared" ref="I48:I57" si="13">(C48+D48+H48)*0.25</f>
        <v>1.6852499999999999</v>
      </c>
      <c r="J48" s="308">
        <f t="shared" ref="J48:J58" si="14">C48+D48+H48+I48</f>
        <v>8.4262499999999996</v>
      </c>
      <c r="K48" s="309">
        <f t="shared" ref="K48:K58" si="15">$K$4*J48/$J$4</f>
        <v>164.01787580694744</v>
      </c>
    </row>
    <row r="49" spans="1:13" hidden="1" x14ac:dyDescent="0.2">
      <c r="A49" s="301"/>
      <c r="B49" s="302" t="s">
        <v>9</v>
      </c>
      <c r="C49" s="302">
        <v>1.94</v>
      </c>
      <c r="D49" s="303">
        <v>1.02</v>
      </c>
      <c r="E49" s="304">
        <v>3.0459999999999998</v>
      </c>
      <c r="F49" s="305">
        <v>0.39600000000000002</v>
      </c>
      <c r="G49" s="305">
        <v>2.9000000000000001E-2</v>
      </c>
      <c r="H49" s="306">
        <f t="shared" si="12"/>
        <v>3.4709999999999996</v>
      </c>
      <c r="I49" s="307">
        <f t="shared" si="13"/>
        <v>1.6077499999999998</v>
      </c>
      <c r="J49" s="308">
        <f t="shared" si="14"/>
        <v>8.0387499999999985</v>
      </c>
      <c r="K49" s="309">
        <f t="shared" si="15"/>
        <v>156.47514601905931</v>
      </c>
    </row>
    <row r="50" spans="1:13" hidden="1" x14ac:dyDescent="0.2">
      <c r="A50" s="301"/>
      <c r="B50" s="302" t="s">
        <v>10</v>
      </c>
      <c r="C50" s="310">
        <v>1.59</v>
      </c>
      <c r="D50" s="303">
        <v>1.02</v>
      </c>
      <c r="E50" s="304">
        <v>3.0459999999999998</v>
      </c>
      <c r="F50" s="305">
        <v>0.39600000000000002</v>
      </c>
      <c r="G50" s="305">
        <v>2.9000000000000001E-2</v>
      </c>
      <c r="H50" s="306">
        <f t="shared" si="12"/>
        <v>3.4709999999999996</v>
      </c>
      <c r="I50" s="307">
        <f t="shared" si="13"/>
        <v>1.5202499999999999</v>
      </c>
      <c r="J50" s="308">
        <f t="shared" si="14"/>
        <v>7.6012499999999994</v>
      </c>
      <c r="K50" s="309">
        <f t="shared" si="15"/>
        <v>147.95916077466953</v>
      </c>
    </row>
    <row r="51" spans="1:13" hidden="1" x14ac:dyDescent="0.2">
      <c r="A51" s="301"/>
      <c r="B51" s="302" t="s">
        <v>11</v>
      </c>
      <c r="C51" s="310">
        <v>1.38</v>
      </c>
      <c r="D51" s="303">
        <v>1.02</v>
      </c>
      <c r="E51" s="304">
        <v>3.0459999999999998</v>
      </c>
      <c r="F51" s="305">
        <v>0.39600000000000002</v>
      </c>
      <c r="G51" s="305">
        <v>2.9000000000000001E-2</v>
      </c>
      <c r="H51" s="306">
        <f t="shared" si="12"/>
        <v>3.4709999999999996</v>
      </c>
      <c r="I51" s="307">
        <f t="shared" si="13"/>
        <v>1.4677499999999999</v>
      </c>
      <c r="J51" s="308">
        <f t="shared" si="14"/>
        <v>7.3387499999999992</v>
      </c>
      <c r="K51" s="309">
        <f t="shared" si="15"/>
        <v>142.84956962803565</v>
      </c>
    </row>
    <row r="52" spans="1:13" hidden="1" x14ac:dyDescent="0.2">
      <c r="A52" s="301"/>
      <c r="B52" s="302" t="s">
        <v>12</v>
      </c>
      <c r="C52" s="302">
        <v>1.33</v>
      </c>
      <c r="D52" s="303">
        <v>0.98</v>
      </c>
      <c r="E52" s="304">
        <v>3.0459999999999998</v>
      </c>
      <c r="F52" s="305">
        <v>0.39600000000000002</v>
      </c>
      <c r="G52" s="305">
        <v>2.9000000000000001E-2</v>
      </c>
      <c r="H52" s="306">
        <f t="shared" si="12"/>
        <v>3.4709999999999996</v>
      </c>
      <c r="I52" s="307">
        <f t="shared" si="13"/>
        <v>1.4452499999999999</v>
      </c>
      <c r="J52" s="308">
        <f t="shared" si="14"/>
        <v>7.2262499999999994</v>
      </c>
      <c r="K52" s="309">
        <f t="shared" si="15"/>
        <v>140.65974485090686</v>
      </c>
    </row>
    <row r="53" spans="1:13" hidden="1" x14ac:dyDescent="0.2">
      <c r="A53" s="301"/>
      <c r="B53" s="302" t="s">
        <v>58</v>
      </c>
      <c r="C53" s="310">
        <v>1.17</v>
      </c>
      <c r="D53" s="303">
        <v>0.98</v>
      </c>
      <c r="E53" s="304">
        <v>3.0459999999999998</v>
      </c>
      <c r="F53" s="305">
        <v>0.39600000000000002</v>
      </c>
      <c r="G53" s="305">
        <v>2.9000000000000001E-2</v>
      </c>
      <c r="H53" s="306">
        <f t="shared" si="12"/>
        <v>3.4709999999999996</v>
      </c>
      <c r="I53" s="307">
        <f t="shared" si="13"/>
        <v>1.4052499999999999</v>
      </c>
      <c r="J53" s="308">
        <f t="shared" si="14"/>
        <v>7.0262499999999992</v>
      </c>
      <c r="K53" s="309">
        <f t="shared" si="15"/>
        <v>136.76672302490007</v>
      </c>
    </row>
    <row r="54" spans="1:13" hidden="1" x14ac:dyDescent="0.2">
      <c r="A54" s="301"/>
      <c r="B54" s="302" t="s">
        <v>13</v>
      </c>
      <c r="C54" s="302">
        <v>0.83</v>
      </c>
      <c r="D54" s="349">
        <v>0.98</v>
      </c>
      <c r="E54" s="304">
        <v>3.0459999999999998</v>
      </c>
      <c r="F54" s="305">
        <v>0.39600000000000002</v>
      </c>
      <c r="G54" s="305">
        <v>2.9000000000000001E-2</v>
      </c>
      <c r="H54" s="306">
        <f t="shared" si="12"/>
        <v>3.4709999999999996</v>
      </c>
      <c r="I54" s="307">
        <f t="shared" si="13"/>
        <v>1.3202499999999999</v>
      </c>
      <c r="J54" s="308">
        <f t="shared" si="14"/>
        <v>6.6012499999999994</v>
      </c>
      <c r="K54" s="309">
        <f t="shared" si="15"/>
        <v>128.49405164463573</v>
      </c>
    </row>
    <row r="55" spans="1:13" hidden="1" x14ac:dyDescent="0.2">
      <c r="A55" s="301"/>
      <c r="B55" s="302" t="s">
        <v>14</v>
      </c>
      <c r="C55" s="310">
        <v>0.86</v>
      </c>
      <c r="D55" s="358">
        <v>0.9</v>
      </c>
      <c r="E55" s="304">
        <v>3.0459999999999998</v>
      </c>
      <c r="F55" s="305">
        <v>0.39600000000000002</v>
      </c>
      <c r="G55" s="305">
        <v>2.9000000000000001E-2</v>
      </c>
      <c r="H55" s="306">
        <f t="shared" si="12"/>
        <v>3.4709999999999996</v>
      </c>
      <c r="I55" s="307">
        <f t="shared" si="13"/>
        <v>1.30775</v>
      </c>
      <c r="J55" s="308">
        <f t="shared" si="14"/>
        <v>6.5387500000000003</v>
      </c>
      <c r="K55" s="309">
        <f t="shared" si="15"/>
        <v>127.27748232400862</v>
      </c>
    </row>
    <row r="56" spans="1:13" hidden="1" x14ac:dyDescent="0.2">
      <c r="A56" s="301"/>
      <c r="B56" s="302" t="s">
        <v>15</v>
      </c>
      <c r="C56" s="302">
        <v>0.83</v>
      </c>
      <c r="D56" s="349">
        <v>0.91</v>
      </c>
      <c r="E56" s="304">
        <v>3.0459999999999998</v>
      </c>
      <c r="F56" s="305">
        <v>0.39600000000000002</v>
      </c>
      <c r="G56" s="305">
        <v>2.9000000000000001E-2</v>
      </c>
      <c r="H56" s="306">
        <f t="shared" si="12"/>
        <v>3.4709999999999996</v>
      </c>
      <c r="I56" s="307">
        <f t="shared" si="13"/>
        <v>1.3027499999999999</v>
      </c>
      <c r="J56" s="308">
        <f t="shared" si="14"/>
        <v>6.513749999999999</v>
      </c>
      <c r="K56" s="309">
        <f t="shared" si="15"/>
        <v>126.79085459575774</v>
      </c>
    </row>
    <row r="57" spans="1:13" hidden="1" x14ac:dyDescent="0.2">
      <c r="A57" s="301"/>
      <c r="B57" s="302" t="s">
        <v>16</v>
      </c>
      <c r="C57" s="302">
        <v>0.87</v>
      </c>
      <c r="D57" s="349">
        <v>0.91</v>
      </c>
      <c r="E57" s="304">
        <v>3.0459999999999998</v>
      </c>
      <c r="F57" s="305">
        <v>0.39600000000000002</v>
      </c>
      <c r="G57" s="305">
        <v>2.9000000000000001E-2</v>
      </c>
      <c r="H57" s="306">
        <f t="shared" si="12"/>
        <v>3.4709999999999996</v>
      </c>
      <c r="I57" s="307">
        <f t="shared" si="13"/>
        <v>1.3127499999999999</v>
      </c>
      <c r="J57" s="308">
        <f t="shared" si="14"/>
        <v>6.5637499999999989</v>
      </c>
      <c r="K57" s="309">
        <f t="shared" si="15"/>
        <v>127.76411005225943</v>
      </c>
    </row>
    <row r="58" spans="1:13" hidden="1" x14ac:dyDescent="0.2">
      <c r="A58" s="312"/>
      <c r="B58" s="313" t="s">
        <v>17</v>
      </c>
      <c r="C58" s="355">
        <v>1</v>
      </c>
      <c r="D58" s="359">
        <v>0.9</v>
      </c>
      <c r="E58" s="315">
        <v>3.0459999999999998</v>
      </c>
      <c r="F58" s="316">
        <v>0.39600000000000002</v>
      </c>
      <c r="G58" s="316">
        <v>2.9000000000000001E-2</v>
      </c>
      <c r="H58" s="317">
        <f t="shared" si="12"/>
        <v>3.4709999999999996</v>
      </c>
      <c r="I58" s="318">
        <f>(C58+D58+H58)*0.25</f>
        <v>1.3427499999999999</v>
      </c>
      <c r="J58" s="319">
        <f t="shared" si="14"/>
        <v>6.7137499999999992</v>
      </c>
      <c r="K58" s="320">
        <f t="shared" si="15"/>
        <v>130.68387642176452</v>
      </c>
    </row>
    <row r="59" spans="1:13" hidden="1" x14ac:dyDescent="0.2">
      <c r="A59" s="343" t="s">
        <v>97</v>
      </c>
      <c r="B59" s="343" t="s">
        <v>98</v>
      </c>
      <c r="C59" s="343"/>
      <c r="D59" s="343"/>
      <c r="E59" s="343"/>
      <c r="F59" s="343"/>
      <c r="G59" s="343"/>
      <c r="H59" s="344"/>
      <c r="I59" s="342"/>
      <c r="J59" s="342"/>
      <c r="K59" s="342"/>
      <c r="L59" s="342"/>
    </row>
    <row r="60" spans="1:13" hidden="1" x14ac:dyDescent="0.2">
      <c r="A60" s="274" t="s">
        <v>87</v>
      </c>
      <c r="B60" s="274" t="s">
        <v>88</v>
      </c>
      <c r="C60" s="271"/>
      <c r="D60" s="271"/>
      <c r="E60" s="271"/>
      <c r="F60" s="271"/>
      <c r="G60" s="271"/>
      <c r="H60" s="271"/>
    </row>
    <row r="61" spans="1:13" hidden="1" x14ac:dyDescent="0.2">
      <c r="A61" s="345" t="s">
        <v>89</v>
      </c>
      <c r="B61" s="345"/>
      <c r="C61" s="345"/>
      <c r="D61" s="345"/>
      <c r="E61" s="345"/>
      <c r="F61" s="345"/>
      <c r="G61" s="345"/>
      <c r="H61" s="345"/>
      <c r="K61" s="325"/>
    </row>
    <row r="62" spans="1:13" hidden="1" x14ac:dyDescent="0.2">
      <c r="A62" s="326" t="s">
        <v>93</v>
      </c>
      <c r="B62" s="326" t="s">
        <v>94</v>
      </c>
      <c r="C62" s="327"/>
      <c r="D62" s="327"/>
      <c r="E62" s="327"/>
      <c r="F62" s="327"/>
      <c r="G62" s="327"/>
      <c r="H62" s="328"/>
      <c r="I62" s="199"/>
      <c r="J62" s="199"/>
      <c r="K62" s="199"/>
      <c r="L62" s="199"/>
      <c r="M62" s="199"/>
    </row>
    <row r="63" spans="1:13" hidden="1" x14ac:dyDescent="0.2">
      <c r="A63" s="327"/>
      <c r="B63" s="326" t="s">
        <v>95</v>
      </c>
      <c r="C63" s="326"/>
      <c r="D63" s="326"/>
      <c r="E63" s="326"/>
      <c r="F63" s="326"/>
      <c r="G63" s="327"/>
      <c r="H63" s="328"/>
      <c r="I63" s="199"/>
      <c r="J63" s="199"/>
      <c r="K63" s="199"/>
      <c r="L63" s="199"/>
      <c r="M63" s="199"/>
    </row>
    <row r="64" spans="1:13" hidden="1" x14ac:dyDescent="0.2"/>
    <row r="65" spans="1:11" hidden="1" x14ac:dyDescent="0.2">
      <c r="A65" s="399" t="s">
        <v>65</v>
      </c>
      <c r="B65" s="400"/>
      <c r="C65" s="401" t="s">
        <v>66</v>
      </c>
      <c r="D65" s="403" t="s">
        <v>90</v>
      </c>
      <c r="E65" s="405" t="s">
        <v>76</v>
      </c>
      <c r="F65" s="406"/>
      <c r="G65" s="406"/>
      <c r="H65" s="407"/>
      <c r="I65" s="408" t="s">
        <v>70</v>
      </c>
      <c r="J65" s="410" t="s">
        <v>72</v>
      </c>
      <c r="K65" s="395" t="s">
        <v>91</v>
      </c>
    </row>
    <row r="66" spans="1:11" ht="24" hidden="1" x14ac:dyDescent="0.2">
      <c r="A66" s="397"/>
      <c r="B66" s="398"/>
      <c r="C66" s="402"/>
      <c r="D66" s="404"/>
      <c r="E66" s="322" t="s">
        <v>71</v>
      </c>
      <c r="F66" s="323" t="s">
        <v>67</v>
      </c>
      <c r="G66" s="323" t="s">
        <v>68</v>
      </c>
      <c r="H66" s="324" t="s">
        <v>69</v>
      </c>
      <c r="I66" s="409"/>
      <c r="J66" s="411"/>
      <c r="K66" s="396"/>
    </row>
    <row r="67" spans="1:11" hidden="1" x14ac:dyDescent="0.2">
      <c r="A67" s="321">
        <v>2020</v>
      </c>
      <c r="B67" s="302" t="s">
        <v>7</v>
      </c>
      <c r="C67" s="310">
        <v>1.41</v>
      </c>
      <c r="D67" s="360">
        <v>0.9</v>
      </c>
      <c r="E67" s="304">
        <v>3.0750000000000002</v>
      </c>
      <c r="F67" s="357">
        <v>0.4</v>
      </c>
      <c r="G67" s="305">
        <v>2.9000000000000001E-2</v>
      </c>
      <c r="H67" s="306">
        <f>E67+F67+G67</f>
        <v>3.504</v>
      </c>
      <c r="I67" s="307">
        <f>(C67+D67+H67)*0.25</f>
        <v>1.4535</v>
      </c>
      <c r="J67" s="308">
        <f>C67+D67+H67+I67</f>
        <v>7.2675000000000001</v>
      </c>
      <c r="K67" s="309">
        <f>$K$4*J67/$J$4</f>
        <v>141.46268060252075</v>
      </c>
    </row>
    <row r="68" spans="1:11" hidden="1" x14ac:dyDescent="0.2">
      <c r="A68" s="301"/>
      <c r="B68" s="302" t="s">
        <v>8</v>
      </c>
      <c r="C68" s="302">
        <v>1.26</v>
      </c>
      <c r="D68" s="303">
        <v>0.89</v>
      </c>
      <c r="E68" s="304">
        <v>3.0750000000000002</v>
      </c>
      <c r="F68" s="357">
        <v>0.4</v>
      </c>
      <c r="G68" s="305">
        <v>2.9000000000000001E-2</v>
      </c>
      <c r="H68" s="306">
        <f t="shared" ref="H68:H78" si="16">E68+F68+G68</f>
        <v>3.504</v>
      </c>
      <c r="I68" s="307">
        <f t="shared" ref="I68:I77" si="17">(C68+D68+H68)*0.25</f>
        <v>1.4135</v>
      </c>
      <c r="J68" s="308">
        <f t="shared" ref="J68:J78" si="18">C68+D68+H68+I68</f>
        <v>7.0674999999999999</v>
      </c>
      <c r="K68" s="309">
        <f t="shared" ref="K68:K78" si="19">$K$4*J68/$J$4</f>
        <v>137.56965877651399</v>
      </c>
    </row>
    <row r="69" spans="1:11" hidden="1" x14ac:dyDescent="0.2">
      <c r="A69" s="301"/>
      <c r="B69" s="302" t="s">
        <v>9</v>
      </c>
      <c r="C69" s="302">
        <v>1.07</v>
      </c>
      <c r="D69" s="303">
        <v>0.89</v>
      </c>
      <c r="E69" s="304">
        <v>3.0750000000000002</v>
      </c>
      <c r="F69" s="357">
        <v>0.4</v>
      </c>
      <c r="G69" s="305">
        <v>2.9000000000000001E-2</v>
      </c>
      <c r="H69" s="306">
        <f t="shared" si="16"/>
        <v>3.504</v>
      </c>
      <c r="I69" s="307">
        <f t="shared" si="17"/>
        <v>1.3660000000000001</v>
      </c>
      <c r="J69" s="308">
        <f t="shared" si="18"/>
        <v>6.83</v>
      </c>
      <c r="K69" s="309">
        <f t="shared" si="19"/>
        <v>132.94669535813097</v>
      </c>
    </row>
    <row r="70" spans="1:11" hidden="1" x14ac:dyDescent="0.2">
      <c r="A70" s="301"/>
      <c r="B70" s="302" t="s">
        <v>10</v>
      </c>
      <c r="C70" s="310">
        <v>0.92</v>
      </c>
      <c r="D70" s="303">
        <v>0.89</v>
      </c>
      <c r="E70" s="304">
        <v>3.0750000000000002</v>
      </c>
      <c r="F70" s="361">
        <v>0.4</v>
      </c>
      <c r="G70" s="305">
        <v>2.9000000000000001E-2</v>
      </c>
      <c r="H70" s="306">
        <f t="shared" si="16"/>
        <v>3.504</v>
      </c>
      <c r="I70" s="307">
        <f t="shared" si="17"/>
        <v>1.3285</v>
      </c>
      <c r="J70" s="308">
        <f t="shared" si="18"/>
        <v>6.6425000000000001</v>
      </c>
      <c r="K70" s="309">
        <f t="shared" si="19"/>
        <v>129.29698739624962</v>
      </c>
    </row>
    <row r="71" spans="1:11" hidden="1" x14ac:dyDescent="0.2">
      <c r="A71" s="301"/>
      <c r="B71" s="302" t="s">
        <v>11</v>
      </c>
      <c r="C71" s="310">
        <v>0.83</v>
      </c>
      <c r="D71" s="303">
        <v>0.89</v>
      </c>
      <c r="E71" s="304">
        <v>3.0750000000000002</v>
      </c>
      <c r="F71" s="361">
        <v>0.4</v>
      </c>
      <c r="G71" s="305">
        <v>2.9000000000000001E-2</v>
      </c>
      <c r="H71" s="306">
        <f t="shared" si="16"/>
        <v>3.504</v>
      </c>
      <c r="I71" s="307">
        <f t="shared" si="17"/>
        <v>1.306</v>
      </c>
      <c r="J71" s="308">
        <f t="shared" si="18"/>
        <v>6.53</v>
      </c>
      <c r="K71" s="309">
        <f t="shared" si="19"/>
        <v>127.10716261912081</v>
      </c>
    </row>
    <row r="72" spans="1:11" hidden="1" x14ac:dyDescent="0.2">
      <c r="A72" s="301"/>
      <c r="B72" s="302" t="s">
        <v>12</v>
      </c>
      <c r="C72" s="302">
        <v>0.66</v>
      </c>
      <c r="D72" s="303">
        <v>0.88</v>
      </c>
      <c r="E72" s="304">
        <v>3.0750000000000002</v>
      </c>
      <c r="F72" s="361">
        <v>0.4</v>
      </c>
      <c r="G72" s="305">
        <v>2.9000000000000001E-2</v>
      </c>
      <c r="H72" s="306">
        <f t="shared" si="16"/>
        <v>3.504</v>
      </c>
      <c r="I72" s="307">
        <f t="shared" si="17"/>
        <v>1.2610000000000001</v>
      </c>
      <c r="J72" s="308">
        <f t="shared" si="18"/>
        <v>6.3050000000000006</v>
      </c>
      <c r="K72" s="309">
        <f t="shared" si="19"/>
        <v>122.72751306486322</v>
      </c>
    </row>
    <row r="73" spans="1:11" hidden="1" x14ac:dyDescent="0.2">
      <c r="A73" s="301"/>
      <c r="B73" s="302" t="s">
        <v>58</v>
      </c>
      <c r="C73" s="310">
        <v>0.5</v>
      </c>
      <c r="D73" s="303">
        <v>0.88</v>
      </c>
      <c r="E73" s="304">
        <v>3.0750000000000002</v>
      </c>
      <c r="F73" s="361">
        <v>0.4</v>
      </c>
      <c r="G73" s="305">
        <v>2.9000000000000001E-2</v>
      </c>
      <c r="H73" s="306">
        <f t="shared" si="16"/>
        <v>3.504</v>
      </c>
      <c r="I73" s="307">
        <f t="shared" si="17"/>
        <v>1.2210000000000001</v>
      </c>
      <c r="J73" s="308">
        <f t="shared" si="18"/>
        <v>6.1050000000000004</v>
      </c>
      <c r="K73" s="309">
        <f t="shared" si="19"/>
        <v>118.83449123885646</v>
      </c>
    </row>
    <row r="74" spans="1:11" hidden="1" x14ac:dyDescent="0.2">
      <c r="A74" s="301"/>
      <c r="B74" s="302" t="s">
        <v>13</v>
      </c>
      <c r="C74" s="302">
        <v>0.51</v>
      </c>
      <c r="D74" s="349">
        <v>0.88</v>
      </c>
      <c r="E74" s="304">
        <v>3.0750000000000002</v>
      </c>
      <c r="F74" s="361">
        <v>0.4</v>
      </c>
      <c r="G74" s="305">
        <v>2.9000000000000001E-2</v>
      </c>
      <c r="H74" s="306">
        <f t="shared" si="16"/>
        <v>3.504</v>
      </c>
      <c r="I74" s="307">
        <f t="shared" si="17"/>
        <v>1.2235</v>
      </c>
      <c r="J74" s="308">
        <f t="shared" si="18"/>
        <v>6.1174999999999997</v>
      </c>
      <c r="K74" s="309">
        <f t="shared" si="19"/>
        <v>119.07780510298186</v>
      </c>
    </row>
    <row r="75" spans="1:11" hidden="1" x14ac:dyDescent="0.2">
      <c r="A75" s="301"/>
      <c r="B75" s="302" t="s">
        <v>14</v>
      </c>
      <c r="C75" s="310">
        <v>0.53</v>
      </c>
      <c r="D75" s="349">
        <v>0.89</v>
      </c>
      <c r="E75" s="304">
        <v>3.0750000000000002</v>
      </c>
      <c r="F75" s="361">
        <v>0.4</v>
      </c>
      <c r="G75" s="305">
        <v>2.9000000000000001E-2</v>
      </c>
      <c r="H75" s="306">
        <f t="shared" si="16"/>
        <v>3.504</v>
      </c>
      <c r="I75" s="307">
        <f t="shared" si="17"/>
        <v>1.2309999999999999</v>
      </c>
      <c r="J75" s="308">
        <f t="shared" si="18"/>
        <v>6.1549999999999994</v>
      </c>
      <c r="K75" s="309">
        <f t="shared" si="19"/>
        <v>119.80774669535813</v>
      </c>
    </row>
    <row r="76" spans="1:11" hidden="1" x14ac:dyDescent="0.2">
      <c r="A76" s="301"/>
      <c r="B76" s="302" t="s">
        <v>15</v>
      </c>
      <c r="C76" s="302">
        <v>0.66</v>
      </c>
      <c r="D76" s="349">
        <v>0.89</v>
      </c>
      <c r="E76" s="304">
        <v>3.0750000000000002</v>
      </c>
      <c r="F76" s="361">
        <v>0.4</v>
      </c>
      <c r="G76" s="305">
        <v>2.9000000000000001E-2</v>
      </c>
      <c r="H76" s="306">
        <f t="shared" si="16"/>
        <v>3.504</v>
      </c>
      <c r="I76" s="307">
        <f t="shared" si="17"/>
        <v>1.2635000000000001</v>
      </c>
      <c r="J76" s="308">
        <f t="shared" si="18"/>
        <v>6.3175000000000008</v>
      </c>
      <c r="K76" s="309">
        <f t="shared" si="19"/>
        <v>122.97082692898864</v>
      </c>
    </row>
    <row r="77" spans="1:11" hidden="1" x14ac:dyDescent="0.2">
      <c r="A77" s="301"/>
      <c r="B77" s="302" t="s">
        <v>16</v>
      </c>
      <c r="C77" s="310">
        <v>1</v>
      </c>
      <c r="D77" s="349">
        <v>0.89</v>
      </c>
      <c r="E77" s="304">
        <v>3.0750000000000002</v>
      </c>
      <c r="F77" s="361">
        <v>0.4</v>
      </c>
      <c r="G77" s="305">
        <v>2.9000000000000001E-2</v>
      </c>
      <c r="H77" s="306">
        <f t="shared" si="16"/>
        <v>3.504</v>
      </c>
      <c r="I77" s="307">
        <f t="shared" si="17"/>
        <v>1.3485</v>
      </c>
      <c r="J77" s="308">
        <f t="shared" si="18"/>
        <v>6.7424999999999997</v>
      </c>
      <c r="K77" s="309">
        <f t="shared" si="19"/>
        <v>131.243498309253</v>
      </c>
    </row>
    <row r="78" spans="1:11" hidden="1" x14ac:dyDescent="0.2">
      <c r="A78" s="312"/>
      <c r="B78" s="313" t="s">
        <v>17</v>
      </c>
      <c r="C78" s="355">
        <v>1.26</v>
      </c>
      <c r="D78" s="354">
        <v>0.89</v>
      </c>
      <c r="E78" s="315">
        <v>3.0750000000000002</v>
      </c>
      <c r="F78" s="365">
        <v>0.4</v>
      </c>
      <c r="G78" s="316">
        <v>2.9000000000000001E-2</v>
      </c>
      <c r="H78" s="317">
        <f t="shared" si="16"/>
        <v>3.504</v>
      </c>
      <c r="I78" s="318">
        <f>(C78+D78+H78)*0.25</f>
        <v>1.4135</v>
      </c>
      <c r="J78" s="319">
        <f t="shared" si="18"/>
        <v>7.0674999999999999</v>
      </c>
      <c r="K78" s="320">
        <f t="shared" si="19"/>
        <v>137.56965877651399</v>
      </c>
    </row>
    <row r="79" spans="1:11" hidden="1" x14ac:dyDescent="0.2">
      <c r="A79" s="343" t="s">
        <v>97</v>
      </c>
      <c r="B79" s="343" t="s">
        <v>98</v>
      </c>
      <c r="C79" s="343"/>
      <c r="D79" s="343"/>
      <c r="E79" s="343"/>
      <c r="F79" s="343"/>
      <c r="G79" s="343"/>
      <c r="H79" s="344"/>
      <c r="I79" s="342"/>
      <c r="J79" s="342"/>
      <c r="K79" s="342"/>
    </row>
    <row r="80" spans="1:11" hidden="1" x14ac:dyDescent="0.2">
      <c r="A80" s="274" t="s">
        <v>87</v>
      </c>
      <c r="B80" s="274" t="s">
        <v>88</v>
      </c>
      <c r="C80" s="271"/>
      <c r="D80" s="271"/>
      <c r="E80" s="271"/>
      <c r="F80" s="271"/>
      <c r="G80" s="271"/>
      <c r="H80" s="271"/>
    </row>
    <row r="81" spans="1:16" hidden="1" x14ac:dyDescent="0.2">
      <c r="A81" s="345" t="s">
        <v>89</v>
      </c>
      <c r="B81" s="345"/>
      <c r="C81" s="345"/>
      <c r="D81" s="345"/>
      <c r="E81" s="345"/>
      <c r="F81" s="345"/>
      <c r="G81" s="345"/>
      <c r="H81" s="345"/>
      <c r="K81" s="325"/>
      <c r="O81" s="364"/>
    </row>
    <row r="82" spans="1:16" hidden="1" x14ac:dyDescent="0.2">
      <c r="A82" s="326" t="s">
        <v>93</v>
      </c>
      <c r="B82" s="326" t="s">
        <v>94</v>
      </c>
      <c r="C82" s="327"/>
      <c r="D82" s="327"/>
      <c r="E82" s="327"/>
      <c r="F82" s="327"/>
      <c r="G82" s="327"/>
      <c r="H82" s="328"/>
      <c r="I82" s="199"/>
      <c r="J82" s="199"/>
      <c r="K82" s="199"/>
    </row>
    <row r="83" spans="1:16" hidden="1" x14ac:dyDescent="0.2">
      <c r="A83" s="327"/>
      <c r="B83" s="326" t="s">
        <v>95</v>
      </c>
      <c r="C83" s="326"/>
      <c r="D83" s="326"/>
      <c r="E83" s="326"/>
      <c r="F83" s="326"/>
      <c r="G83" s="327"/>
      <c r="H83" s="328"/>
      <c r="M83" s="364"/>
    </row>
    <row r="84" spans="1:16" hidden="1" x14ac:dyDescent="0.2">
      <c r="A84" s="326" t="s">
        <v>102</v>
      </c>
      <c r="B84" s="326" t="s">
        <v>104</v>
      </c>
      <c r="C84" s="326"/>
      <c r="D84" s="326"/>
      <c r="E84" s="326"/>
      <c r="F84" s="326"/>
      <c r="G84" s="327"/>
      <c r="H84" s="328"/>
      <c r="I84" s="199"/>
      <c r="J84" s="199"/>
      <c r="L84" s="199"/>
    </row>
    <row r="85" spans="1:16" hidden="1" x14ac:dyDescent="0.2">
      <c r="A85" s="199"/>
      <c r="B85" s="362"/>
      <c r="C85" s="362"/>
      <c r="D85" s="199"/>
      <c r="E85" s="199"/>
      <c r="F85" s="199"/>
      <c r="G85" s="199"/>
      <c r="H85" s="363"/>
      <c r="I85" s="199"/>
      <c r="J85" s="199"/>
      <c r="L85" s="199"/>
    </row>
    <row r="86" spans="1:16" hidden="1" x14ac:dyDescent="0.2">
      <c r="A86" s="399" t="s">
        <v>65</v>
      </c>
      <c r="B86" s="400"/>
      <c r="C86" s="401" t="s">
        <v>66</v>
      </c>
      <c r="D86" s="403" t="s">
        <v>90</v>
      </c>
      <c r="E86" s="405" t="s">
        <v>76</v>
      </c>
      <c r="F86" s="406"/>
      <c r="G86" s="406"/>
      <c r="H86" s="407"/>
      <c r="I86" s="408" t="s">
        <v>70</v>
      </c>
      <c r="J86" s="410" t="s">
        <v>72</v>
      </c>
      <c r="K86" s="395" t="s">
        <v>91</v>
      </c>
      <c r="M86" s="364"/>
      <c r="N86" s="366"/>
    </row>
    <row r="87" spans="1:16" ht="24" hidden="1" x14ac:dyDescent="0.2">
      <c r="A87" s="397"/>
      <c r="B87" s="398"/>
      <c r="C87" s="402"/>
      <c r="D87" s="404"/>
      <c r="E87" s="322" t="s">
        <v>71</v>
      </c>
      <c r="F87" s="323" t="s">
        <v>67</v>
      </c>
      <c r="G87" s="323" t="s">
        <v>68</v>
      </c>
      <c r="H87" s="324" t="s">
        <v>69</v>
      </c>
      <c r="I87" s="409"/>
      <c r="J87" s="411"/>
      <c r="K87" s="396"/>
      <c r="M87" s="364"/>
    </row>
    <row r="88" spans="1:16" hidden="1" x14ac:dyDescent="0.2">
      <c r="A88" s="321">
        <v>2021</v>
      </c>
      <c r="B88" s="302" t="s">
        <v>7</v>
      </c>
      <c r="C88" s="310">
        <v>1.25</v>
      </c>
      <c r="D88" s="360">
        <v>0.89</v>
      </c>
      <c r="E88" s="304">
        <v>3.1019999999999999</v>
      </c>
      <c r="F88" s="357">
        <v>0.40300000000000002</v>
      </c>
      <c r="G88" s="305">
        <v>2.9000000000000001E-2</v>
      </c>
      <c r="H88" s="306">
        <f>E88+F88+G88</f>
        <v>3.5339999999999998</v>
      </c>
      <c r="I88" s="307">
        <f>(C88+D88+H88)*0.25</f>
        <v>1.4184999999999999</v>
      </c>
      <c r="J88" s="308">
        <f>C88+D88+H88+I88</f>
        <v>7.0924999999999994</v>
      </c>
      <c r="K88" s="309">
        <f>$K$4*J88/$J$4</f>
        <v>138.05628650476481</v>
      </c>
      <c r="N88" s="364"/>
      <c r="O88" s="364"/>
    </row>
    <row r="89" spans="1:16" hidden="1" x14ac:dyDescent="0.2">
      <c r="A89" s="301"/>
      <c r="B89" s="302" t="s">
        <v>8</v>
      </c>
      <c r="C89" s="302">
        <v>1.48</v>
      </c>
      <c r="D89" s="303">
        <v>0.88</v>
      </c>
      <c r="E89" s="304">
        <v>3.1019999999999999</v>
      </c>
      <c r="F89" s="357">
        <v>0.40300000000000002</v>
      </c>
      <c r="G89" s="305">
        <v>2.9000000000000001E-2</v>
      </c>
      <c r="H89" s="306">
        <f t="shared" ref="H89:H99" si="20">E89+F89+G89</f>
        <v>3.5339999999999998</v>
      </c>
      <c r="I89" s="307">
        <f t="shared" ref="I89:I98" si="21">(C89+D89+H89)*0.25</f>
        <v>1.4735</v>
      </c>
      <c r="J89" s="308">
        <f t="shared" ref="J89:J99" si="22">C89+D89+H89+I89</f>
        <v>7.3674999999999997</v>
      </c>
      <c r="K89" s="309">
        <f t="shared" ref="K89:K99" si="23">$K$4*J89/$J$4</f>
        <v>143.40919151552416</v>
      </c>
    </row>
    <row r="90" spans="1:16" hidden="1" x14ac:dyDescent="0.2">
      <c r="A90" s="301"/>
      <c r="B90" s="302" t="s">
        <v>9</v>
      </c>
      <c r="C90" s="302">
        <v>1.78</v>
      </c>
      <c r="D90" s="303">
        <v>0.87</v>
      </c>
      <c r="E90" s="304">
        <v>3.1019999999999999</v>
      </c>
      <c r="F90" s="357">
        <v>0.40300000000000002</v>
      </c>
      <c r="G90" s="305">
        <v>2.9000000000000001E-2</v>
      </c>
      <c r="H90" s="306">
        <f t="shared" si="20"/>
        <v>3.5339999999999998</v>
      </c>
      <c r="I90" s="307">
        <f t="shared" si="21"/>
        <v>1.5459999999999998</v>
      </c>
      <c r="J90" s="308">
        <f t="shared" si="22"/>
        <v>7.7299999999999986</v>
      </c>
      <c r="K90" s="309">
        <f t="shared" si="23"/>
        <v>150.46529357516138</v>
      </c>
      <c r="M90" s="364"/>
      <c r="N90" s="369"/>
    </row>
    <row r="91" spans="1:16" hidden="1" x14ac:dyDescent="0.2">
      <c r="A91" s="301"/>
      <c r="B91" s="302" t="s">
        <v>10</v>
      </c>
      <c r="C91" s="310">
        <v>1.67</v>
      </c>
      <c r="D91" s="303">
        <v>0.87</v>
      </c>
      <c r="E91" s="304">
        <v>3.1019999999999999</v>
      </c>
      <c r="F91" s="361">
        <v>0.40300000000000002</v>
      </c>
      <c r="G91" s="305">
        <v>2.9000000000000001E-2</v>
      </c>
      <c r="H91" s="306">
        <f t="shared" si="20"/>
        <v>3.5339999999999998</v>
      </c>
      <c r="I91" s="307">
        <f t="shared" si="21"/>
        <v>1.5185</v>
      </c>
      <c r="J91" s="308">
        <f t="shared" si="22"/>
        <v>7.5924999999999994</v>
      </c>
      <c r="K91" s="309">
        <f t="shared" si="23"/>
        <v>147.78884106978174</v>
      </c>
      <c r="M91" s="366"/>
      <c r="N91" s="369"/>
      <c r="P91" s="364"/>
    </row>
    <row r="92" spans="1:16" hidden="1" x14ac:dyDescent="0.2">
      <c r="A92" s="301"/>
      <c r="B92" s="302" t="s">
        <v>11</v>
      </c>
      <c r="C92" s="310">
        <v>1.62</v>
      </c>
      <c r="D92" s="303">
        <v>0.89</v>
      </c>
      <c r="E92" s="304">
        <v>3.1019999999999999</v>
      </c>
      <c r="F92" s="361">
        <v>0.40300000000000002</v>
      </c>
      <c r="G92" s="305">
        <v>2.9000000000000001E-2</v>
      </c>
      <c r="H92" s="306">
        <f t="shared" si="20"/>
        <v>3.5339999999999998</v>
      </c>
      <c r="I92" s="307">
        <f t="shared" si="21"/>
        <v>1.5110000000000001</v>
      </c>
      <c r="J92" s="308">
        <f t="shared" si="22"/>
        <v>7.5550000000000006</v>
      </c>
      <c r="K92" s="309">
        <f t="shared" si="23"/>
        <v>147.0588994774055</v>
      </c>
      <c r="P92" s="366"/>
    </row>
    <row r="93" spans="1:16" hidden="1" x14ac:dyDescent="0.2">
      <c r="A93" s="301"/>
      <c r="B93" s="302" t="s">
        <v>12</v>
      </c>
      <c r="C93" s="302">
        <v>1.87</v>
      </c>
      <c r="D93" s="303">
        <v>0.89</v>
      </c>
      <c r="E93" s="304">
        <v>3.1019999999999999</v>
      </c>
      <c r="F93" s="361">
        <v>0.40300000000000002</v>
      </c>
      <c r="G93" s="305">
        <v>2.9000000000000001E-2</v>
      </c>
      <c r="H93" s="306">
        <f t="shared" si="20"/>
        <v>3.5339999999999998</v>
      </c>
      <c r="I93" s="307">
        <f t="shared" si="21"/>
        <v>1.5735000000000001</v>
      </c>
      <c r="J93" s="308">
        <f t="shared" si="22"/>
        <v>7.8675000000000006</v>
      </c>
      <c r="K93" s="309">
        <f t="shared" si="23"/>
        <v>153.14174608054105</v>
      </c>
    </row>
    <row r="94" spans="1:16" hidden="1" x14ac:dyDescent="0.2">
      <c r="A94" s="301"/>
      <c r="B94" s="302" t="s">
        <v>58</v>
      </c>
      <c r="C94" s="310">
        <v>2.2799999999999998</v>
      </c>
      <c r="D94" s="303">
        <v>0.88</v>
      </c>
      <c r="E94" s="304">
        <v>3.1019999999999999</v>
      </c>
      <c r="F94" s="361">
        <v>0.40300000000000002</v>
      </c>
      <c r="G94" s="305">
        <v>2.9000000000000001E-2</v>
      </c>
      <c r="H94" s="306">
        <f t="shared" si="20"/>
        <v>3.5339999999999998</v>
      </c>
      <c r="I94" s="307">
        <f t="shared" si="21"/>
        <v>1.6734999999999998</v>
      </c>
      <c r="J94" s="308">
        <f t="shared" si="22"/>
        <v>8.3674999999999997</v>
      </c>
      <c r="K94" s="309">
        <f t="shared" si="23"/>
        <v>162.87430064555795</v>
      </c>
    </row>
    <row r="95" spans="1:16" hidden="1" x14ac:dyDescent="0.2">
      <c r="A95" s="301"/>
      <c r="B95" s="302" t="s">
        <v>13</v>
      </c>
      <c r="C95" s="310">
        <v>2.6</v>
      </c>
      <c r="D95" s="349">
        <v>0.91</v>
      </c>
      <c r="E95" s="304">
        <v>3.1019999999999999</v>
      </c>
      <c r="F95" s="361">
        <v>0.40300000000000002</v>
      </c>
      <c r="G95" s="305">
        <v>2.9000000000000001E-2</v>
      </c>
      <c r="H95" s="306">
        <f t="shared" si="20"/>
        <v>3.5339999999999998</v>
      </c>
      <c r="I95" s="307">
        <f t="shared" si="21"/>
        <v>1.7610000000000001</v>
      </c>
      <c r="J95" s="308">
        <f t="shared" si="22"/>
        <v>8.8049999999999997</v>
      </c>
      <c r="K95" s="309">
        <f t="shared" si="23"/>
        <v>171.39028588994773</v>
      </c>
      <c r="N95" s="364"/>
    </row>
    <row r="96" spans="1:16" hidden="1" x14ac:dyDescent="0.2">
      <c r="A96" s="301"/>
      <c r="B96" s="302" t="s">
        <v>14</v>
      </c>
      <c r="C96" s="310">
        <v>3.23</v>
      </c>
      <c r="D96" s="358">
        <v>0.9</v>
      </c>
      <c r="E96" s="304">
        <v>3.1019999999999999</v>
      </c>
      <c r="F96" s="361">
        <v>0.40300000000000002</v>
      </c>
      <c r="G96" s="305">
        <v>2.9000000000000001E-2</v>
      </c>
      <c r="H96" s="306">
        <f>E96+F96+G96</f>
        <v>3.5339999999999998</v>
      </c>
      <c r="I96" s="307">
        <f t="shared" si="21"/>
        <v>1.9159999999999999</v>
      </c>
      <c r="J96" s="308">
        <f t="shared" si="22"/>
        <v>9.58</v>
      </c>
      <c r="K96" s="309">
        <f t="shared" si="23"/>
        <v>186.47574546572395</v>
      </c>
    </row>
    <row r="97" spans="1:15" hidden="1" x14ac:dyDescent="0.2">
      <c r="A97" s="301"/>
      <c r="B97" s="302" t="s">
        <v>15</v>
      </c>
      <c r="C97" s="302">
        <v>3.93</v>
      </c>
      <c r="D97" s="349">
        <v>0.86</v>
      </c>
      <c r="E97" s="304">
        <v>3.1019999999999999</v>
      </c>
      <c r="F97" s="361">
        <v>0.40300000000000002</v>
      </c>
      <c r="G97" s="305">
        <v>2.9000000000000001E-2</v>
      </c>
      <c r="H97" s="306">
        <f t="shared" si="20"/>
        <v>3.5339999999999998</v>
      </c>
      <c r="I97" s="307">
        <f t="shared" si="21"/>
        <v>2.081</v>
      </c>
      <c r="J97" s="308">
        <f t="shared" si="22"/>
        <v>10.404999999999999</v>
      </c>
      <c r="K97" s="309">
        <f t="shared" si="23"/>
        <v>202.53446049800183</v>
      </c>
    </row>
    <row r="98" spans="1:15" hidden="1" x14ac:dyDescent="0.2">
      <c r="A98" s="301"/>
      <c r="B98" s="302" t="s">
        <v>16</v>
      </c>
      <c r="C98" s="310">
        <v>5.65</v>
      </c>
      <c r="D98" s="358">
        <v>0.9</v>
      </c>
      <c r="E98" s="304">
        <v>3.1019999999999999</v>
      </c>
      <c r="F98" s="361">
        <v>0.40300000000000002</v>
      </c>
      <c r="G98" s="305">
        <v>2.9000000000000001E-2</v>
      </c>
      <c r="H98" s="306">
        <f t="shared" si="20"/>
        <v>3.5339999999999998</v>
      </c>
      <c r="I98" s="307">
        <f t="shared" si="21"/>
        <v>2.5209999999999999</v>
      </c>
      <c r="J98" s="308">
        <f t="shared" si="22"/>
        <v>12.605</v>
      </c>
      <c r="K98" s="309">
        <f t="shared" si="23"/>
        <v>245.35770058407624</v>
      </c>
    </row>
    <row r="99" spans="1:15" hidden="1" x14ac:dyDescent="0.2">
      <c r="A99" s="312"/>
      <c r="B99" s="313" t="s">
        <v>17</v>
      </c>
      <c r="C99" s="355">
        <v>8.2200000000000006</v>
      </c>
      <c r="D99" s="359">
        <v>0.9</v>
      </c>
      <c r="E99" s="315">
        <v>3.1019999999999999</v>
      </c>
      <c r="F99" s="365">
        <v>0.40300000000000002</v>
      </c>
      <c r="G99" s="316">
        <v>2.9000000000000001E-2</v>
      </c>
      <c r="H99" s="317">
        <f t="shared" si="20"/>
        <v>3.5339999999999998</v>
      </c>
      <c r="I99" s="318">
        <f>(C99+D99+H99)*0.25</f>
        <v>3.1635</v>
      </c>
      <c r="J99" s="319">
        <f t="shared" si="22"/>
        <v>15.817499999999999</v>
      </c>
      <c r="K99" s="320">
        <f t="shared" si="23"/>
        <v>307.88936366430983</v>
      </c>
    </row>
    <row r="100" spans="1:15" hidden="1" x14ac:dyDescent="0.2">
      <c r="A100" s="343" t="s">
        <v>97</v>
      </c>
      <c r="B100" s="343" t="s">
        <v>98</v>
      </c>
      <c r="C100" s="343"/>
      <c r="D100" s="343"/>
      <c r="E100" s="343"/>
      <c r="F100" s="343"/>
      <c r="G100" s="343"/>
      <c r="H100" s="344"/>
      <c r="I100" s="342"/>
      <c r="J100" s="342"/>
      <c r="K100" s="342"/>
      <c r="O100" s="364"/>
    </row>
    <row r="101" spans="1:15" hidden="1" x14ac:dyDescent="0.2">
      <c r="A101" s="274" t="s">
        <v>87</v>
      </c>
      <c r="B101" s="274" t="s">
        <v>88</v>
      </c>
      <c r="C101" s="271"/>
      <c r="D101" s="271"/>
      <c r="E101" s="271"/>
      <c r="F101" s="271"/>
      <c r="G101" s="271"/>
      <c r="H101" s="271"/>
    </row>
    <row r="102" spans="1:15" hidden="1" x14ac:dyDescent="0.2">
      <c r="A102" s="345" t="s">
        <v>89</v>
      </c>
      <c r="B102" s="345"/>
      <c r="C102" s="345"/>
      <c r="D102" s="345"/>
      <c r="E102" s="345"/>
      <c r="F102" s="345"/>
      <c r="G102" s="345"/>
      <c r="H102" s="345"/>
      <c r="K102" s="325"/>
    </row>
    <row r="103" spans="1:15" hidden="1" x14ac:dyDescent="0.2">
      <c r="A103" s="326" t="s">
        <v>93</v>
      </c>
      <c r="B103" s="326" t="s">
        <v>94</v>
      </c>
      <c r="C103" s="327"/>
      <c r="D103" s="327"/>
      <c r="E103" s="327"/>
      <c r="F103" s="327"/>
      <c r="G103" s="327"/>
      <c r="H103" s="328"/>
      <c r="I103" s="199"/>
      <c r="J103" s="199"/>
      <c r="K103" s="199"/>
    </row>
    <row r="104" spans="1:15" hidden="1" x14ac:dyDescent="0.2">
      <c r="A104" s="327"/>
      <c r="B104" s="326" t="s">
        <v>105</v>
      </c>
      <c r="C104" s="326"/>
      <c r="D104" s="326"/>
      <c r="E104" s="326"/>
      <c r="F104" s="326"/>
      <c r="G104" s="327"/>
      <c r="H104" s="328"/>
    </row>
    <row r="105" spans="1:15" hidden="1" x14ac:dyDescent="0.2">
      <c r="A105" s="326" t="s">
        <v>102</v>
      </c>
      <c r="B105" s="326" t="s">
        <v>104</v>
      </c>
      <c r="C105" s="326"/>
      <c r="D105" s="326"/>
      <c r="E105" s="326"/>
      <c r="F105" s="326"/>
      <c r="G105" s="327"/>
      <c r="H105" s="328"/>
      <c r="I105" s="199"/>
      <c r="J105" s="199"/>
      <c r="L105" s="199"/>
    </row>
    <row r="107" spans="1:15" x14ac:dyDescent="0.2">
      <c r="A107" s="399" t="s">
        <v>65</v>
      </c>
      <c r="B107" s="400"/>
      <c r="C107" s="401" t="s">
        <v>66</v>
      </c>
      <c r="D107" s="403" t="s">
        <v>90</v>
      </c>
      <c r="E107" s="405" t="s">
        <v>76</v>
      </c>
      <c r="F107" s="406"/>
      <c r="G107" s="406"/>
      <c r="H107" s="407"/>
      <c r="I107" s="408" t="s">
        <v>70</v>
      </c>
      <c r="J107" s="410" t="s">
        <v>72</v>
      </c>
      <c r="K107" s="395" t="s">
        <v>91</v>
      </c>
    </row>
    <row r="108" spans="1:15" ht="24" x14ac:dyDescent="0.2">
      <c r="A108" s="397"/>
      <c r="B108" s="398"/>
      <c r="C108" s="402"/>
      <c r="D108" s="404"/>
      <c r="E108" s="322" t="s">
        <v>71</v>
      </c>
      <c r="F108" s="323" t="s">
        <v>67</v>
      </c>
      <c r="G108" s="323" t="s">
        <v>68</v>
      </c>
      <c r="H108" s="324" t="s">
        <v>69</v>
      </c>
      <c r="I108" s="409"/>
      <c r="J108" s="411"/>
      <c r="K108" s="396"/>
    </row>
    <row r="109" spans="1:15" x14ac:dyDescent="0.2">
      <c r="A109" s="321">
        <v>2022</v>
      </c>
      <c r="B109" s="302" t="s">
        <v>7</v>
      </c>
      <c r="C109" s="310">
        <v>7.4</v>
      </c>
      <c r="D109" s="360">
        <v>0.88</v>
      </c>
      <c r="E109" s="371">
        <v>3.1139999999999999</v>
      </c>
      <c r="F109" s="370">
        <v>0.40500000000000003</v>
      </c>
      <c r="G109" s="372">
        <v>0.03</v>
      </c>
      <c r="H109" s="306">
        <f>E109+F109+G109</f>
        <v>3.5489999999999999</v>
      </c>
      <c r="I109" s="307">
        <f>(C109+D109+H109)*0.25</f>
        <v>2.9572500000000002</v>
      </c>
      <c r="J109" s="308">
        <f>C109+D109+H109+I109</f>
        <v>14.786250000000001</v>
      </c>
      <c r="K109" s="309">
        <f>$K$4*J109/$J$4</f>
        <v>287.8159698739625</v>
      </c>
    </row>
    <row r="110" spans="1:15" x14ac:dyDescent="0.2">
      <c r="A110" s="301"/>
      <c r="B110" s="302" t="s">
        <v>8</v>
      </c>
      <c r="C110" s="302">
        <v>10.46</v>
      </c>
      <c r="D110" s="303">
        <v>0.88</v>
      </c>
      <c r="E110" s="304">
        <v>3.1139999999999999</v>
      </c>
      <c r="F110" s="361">
        <v>0.40500000000000003</v>
      </c>
      <c r="G110" s="349">
        <v>0.03</v>
      </c>
      <c r="H110" s="306">
        <f t="shared" ref="H110:H116" si="24">E110+F110+G110</f>
        <v>3.5489999999999999</v>
      </c>
      <c r="I110" s="307">
        <f t="shared" ref="I110:I119" si="25">(C110+D110+H110)*0.25</f>
        <v>3.7222500000000003</v>
      </c>
      <c r="J110" s="308">
        <f t="shared" ref="J110:J120" si="26">C110+D110+H110+I110</f>
        <v>18.611250000000002</v>
      </c>
      <c r="K110" s="309">
        <f>$K$4*J110/$J$4</f>
        <v>362.27001229634186</v>
      </c>
    </row>
    <row r="111" spans="1:15" x14ac:dyDescent="0.2">
      <c r="A111" s="301"/>
      <c r="B111" s="302" t="s">
        <v>9</v>
      </c>
      <c r="C111" s="302">
        <v>7.69</v>
      </c>
      <c r="D111" s="303">
        <v>0.94</v>
      </c>
      <c r="E111" s="304">
        <v>3.1139999999999999</v>
      </c>
      <c r="F111" s="361">
        <v>0.40500000000000003</v>
      </c>
      <c r="G111" s="349">
        <v>0.03</v>
      </c>
      <c r="H111" s="306">
        <f t="shared" si="24"/>
        <v>3.5489999999999999</v>
      </c>
      <c r="I111" s="307">
        <f t="shared" si="25"/>
        <v>3.0447500000000001</v>
      </c>
      <c r="J111" s="308">
        <f t="shared" si="26"/>
        <v>15.223750000000001</v>
      </c>
      <c r="K111" s="309">
        <f t="shared" ref="K111:K120" si="27">$K$4*J111/$J$4</f>
        <v>296.33195511835231</v>
      </c>
    </row>
    <row r="112" spans="1:15" x14ac:dyDescent="0.2">
      <c r="A112" s="301"/>
      <c r="B112" s="302" t="s">
        <v>10</v>
      </c>
      <c r="C112" s="310">
        <v>7.33</v>
      </c>
      <c r="D112" s="303">
        <v>0.95</v>
      </c>
      <c r="E112" s="304">
        <v>3.1139999999999999</v>
      </c>
      <c r="F112" s="361">
        <v>0.40500000000000003</v>
      </c>
      <c r="G112" s="349">
        <v>0.03</v>
      </c>
      <c r="H112" s="306">
        <f t="shared" si="24"/>
        <v>3.5489999999999999</v>
      </c>
      <c r="I112" s="307">
        <f t="shared" si="25"/>
        <v>2.9572499999999997</v>
      </c>
      <c r="J112" s="308">
        <f t="shared" si="26"/>
        <v>14.786249999999999</v>
      </c>
      <c r="K112" s="309">
        <f t="shared" si="27"/>
        <v>287.8159698739625</v>
      </c>
    </row>
    <row r="113" spans="1:11" x14ac:dyDescent="0.2">
      <c r="A113" s="301"/>
      <c r="B113" s="302" t="s">
        <v>11</v>
      </c>
      <c r="C113" s="310">
        <v>11.91</v>
      </c>
      <c r="D113" s="303">
        <v>0.95</v>
      </c>
      <c r="E113" s="304">
        <v>3.1139999999999999</v>
      </c>
      <c r="F113" s="361">
        <v>0.40500000000000003</v>
      </c>
      <c r="G113" s="349">
        <v>0.03</v>
      </c>
      <c r="H113" s="306">
        <f t="shared" si="24"/>
        <v>3.5489999999999999</v>
      </c>
      <c r="I113" s="307">
        <f t="shared" si="25"/>
        <v>4.1022499999999997</v>
      </c>
      <c r="J113" s="308">
        <f t="shared" si="26"/>
        <v>20.511249999999997</v>
      </c>
      <c r="K113" s="309">
        <f t="shared" si="27"/>
        <v>399.25371964340604</v>
      </c>
    </row>
    <row r="114" spans="1:11" x14ac:dyDescent="0.2">
      <c r="A114" s="301"/>
      <c r="B114" s="302" t="s">
        <v>12</v>
      </c>
      <c r="C114" s="302">
        <v>9.49</v>
      </c>
      <c r="D114" s="303">
        <v>0.97</v>
      </c>
      <c r="E114" s="304">
        <v>3.1139999999999999</v>
      </c>
      <c r="F114" s="361">
        <v>0.40500000000000003</v>
      </c>
      <c r="G114" s="349">
        <v>0.03</v>
      </c>
      <c r="H114" s="306">
        <f t="shared" si="24"/>
        <v>3.5489999999999999</v>
      </c>
      <c r="I114" s="307">
        <f t="shared" si="25"/>
        <v>3.5022500000000001</v>
      </c>
      <c r="J114" s="308">
        <f t="shared" si="26"/>
        <v>17.51125</v>
      </c>
      <c r="K114" s="309">
        <f t="shared" si="27"/>
        <v>340.85839225330466</v>
      </c>
    </row>
    <row r="115" spans="1:11" x14ac:dyDescent="0.2">
      <c r="A115" s="301"/>
      <c r="B115" s="302" t="s">
        <v>58</v>
      </c>
      <c r="C115" s="310">
        <v>8.32</v>
      </c>
      <c r="D115" s="303">
        <v>0.98</v>
      </c>
      <c r="E115" s="304">
        <v>3.1139999999999999</v>
      </c>
      <c r="F115" s="361">
        <v>0.40500000000000003</v>
      </c>
      <c r="G115" s="349">
        <v>0.03</v>
      </c>
      <c r="H115" s="306">
        <f t="shared" si="24"/>
        <v>3.5489999999999999</v>
      </c>
      <c r="I115" s="307">
        <f t="shared" si="25"/>
        <v>3.21225</v>
      </c>
      <c r="J115" s="308">
        <f t="shared" si="26"/>
        <v>16.061250000000001</v>
      </c>
      <c r="K115" s="309">
        <f t="shared" si="27"/>
        <v>312.63398401475564</v>
      </c>
    </row>
    <row r="116" spans="1:11" x14ac:dyDescent="0.2">
      <c r="A116" s="301"/>
      <c r="B116" s="302" t="s">
        <v>13</v>
      </c>
      <c r="C116" s="310">
        <v>9.51</v>
      </c>
      <c r="D116" s="349">
        <v>0.95</v>
      </c>
      <c r="E116" s="304">
        <v>3.1139999999999999</v>
      </c>
      <c r="F116" s="361">
        <v>0.40500000000000003</v>
      </c>
      <c r="G116" s="349">
        <v>0.03</v>
      </c>
      <c r="H116" s="306">
        <f t="shared" si="24"/>
        <v>3.5489999999999999</v>
      </c>
      <c r="I116" s="307">
        <f t="shared" si="25"/>
        <v>3.5022499999999996</v>
      </c>
      <c r="J116" s="308">
        <f t="shared" si="26"/>
        <v>17.511249999999997</v>
      </c>
      <c r="K116" s="309">
        <f t="shared" si="27"/>
        <v>340.8583922533046</v>
      </c>
    </row>
    <row r="117" spans="1:11" x14ac:dyDescent="0.2">
      <c r="A117" s="301"/>
      <c r="B117" s="302" t="s">
        <v>14</v>
      </c>
      <c r="C117" s="310">
        <v>15.41</v>
      </c>
      <c r="D117" s="349">
        <v>0.95</v>
      </c>
      <c r="E117" s="304">
        <v>3.1139999999999999</v>
      </c>
      <c r="F117" s="361">
        <v>0.40500000000000003</v>
      </c>
      <c r="G117" s="349">
        <v>0.03</v>
      </c>
      <c r="H117" s="306">
        <f>E117+F117+G117</f>
        <v>3.5489999999999999</v>
      </c>
      <c r="I117" s="307">
        <f t="shared" si="25"/>
        <v>4.9772499999999997</v>
      </c>
      <c r="J117" s="308">
        <f t="shared" si="26"/>
        <v>24.886249999999997</v>
      </c>
      <c r="K117" s="309">
        <f t="shared" si="27"/>
        <v>484.41357208730403</v>
      </c>
    </row>
    <row r="118" spans="1:11" x14ac:dyDescent="0.2">
      <c r="A118" s="301"/>
      <c r="B118" s="302" t="s">
        <v>15</v>
      </c>
      <c r="C118" s="302">
        <v>21.35</v>
      </c>
      <c r="D118" s="349">
        <v>0.95</v>
      </c>
      <c r="E118" s="304">
        <v>3.1139999999999999</v>
      </c>
      <c r="F118" s="361">
        <v>0.40500000000000003</v>
      </c>
      <c r="G118" s="349">
        <v>0.03</v>
      </c>
      <c r="H118" s="306">
        <f>E118+F118+G118</f>
        <v>3.5489999999999999</v>
      </c>
      <c r="I118" s="307">
        <f t="shared" si="25"/>
        <v>6.46225</v>
      </c>
      <c r="J118" s="308">
        <f t="shared" si="26"/>
        <v>32.311250000000001</v>
      </c>
      <c r="K118" s="309">
        <f t="shared" si="27"/>
        <v>628.94200737780511</v>
      </c>
    </row>
    <row r="119" spans="1:11" x14ac:dyDescent="0.2">
      <c r="A119" s="301"/>
      <c r="B119" s="302" t="s">
        <v>16</v>
      </c>
      <c r="C119" s="310">
        <v>17.18</v>
      </c>
      <c r="D119" s="358">
        <v>0.95</v>
      </c>
      <c r="E119" s="304">
        <v>3.1139999999999999</v>
      </c>
      <c r="F119" s="361">
        <v>0.40500000000000003</v>
      </c>
      <c r="G119" s="349">
        <v>0.03</v>
      </c>
      <c r="H119" s="306">
        <f>E119+F119+G119</f>
        <v>3.5489999999999999</v>
      </c>
      <c r="I119" s="307">
        <f t="shared" si="25"/>
        <v>5.4197499999999996</v>
      </c>
      <c r="J119" s="308">
        <f t="shared" si="26"/>
        <v>27.098749999999999</v>
      </c>
      <c r="K119" s="309">
        <f t="shared" si="27"/>
        <v>527.48012603750385</v>
      </c>
    </row>
    <row r="120" spans="1:11" x14ac:dyDescent="0.2">
      <c r="A120" s="312"/>
      <c r="B120" s="313" t="s">
        <v>17</v>
      </c>
      <c r="C120" s="355">
        <v>7.86</v>
      </c>
      <c r="D120" s="358">
        <v>0.99</v>
      </c>
      <c r="E120" s="373">
        <v>3.1139999999999999</v>
      </c>
      <c r="F120" s="365">
        <v>0.40500000000000003</v>
      </c>
      <c r="G120" s="354">
        <v>0.03</v>
      </c>
      <c r="H120" s="317">
        <f>E120+F120+G120</f>
        <v>3.5489999999999999</v>
      </c>
      <c r="I120" s="318">
        <f>(C120+D120+H120)*0.25</f>
        <v>3.0997499999999998</v>
      </c>
      <c r="J120" s="319">
        <f t="shared" si="26"/>
        <v>15.498749999999999</v>
      </c>
      <c r="K120" s="320">
        <f t="shared" si="27"/>
        <v>301.6848601291116</v>
      </c>
    </row>
    <row r="121" spans="1:11" x14ac:dyDescent="0.2">
      <c r="A121" s="343" t="s">
        <v>97</v>
      </c>
      <c r="B121" s="343" t="s">
        <v>98</v>
      </c>
      <c r="C121" s="343"/>
      <c r="D121" s="343"/>
      <c r="E121" s="343"/>
      <c r="F121" s="343"/>
      <c r="G121" s="343"/>
      <c r="H121" s="344"/>
      <c r="I121" s="342"/>
      <c r="J121" s="342"/>
      <c r="K121" s="342"/>
    </row>
    <row r="122" spans="1:11" x14ac:dyDescent="0.2">
      <c r="A122" s="274" t="s">
        <v>87</v>
      </c>
      <c r="B122" s="274" t="s">
        <v>88</v>
      </c>
      <c r="C122" s="271"/>
      <c r="D122" s="271"/>
      <c r="E122" s="271"/>
      <c r="F122" s="271"/>
      <c r="G122" s="271"/>
      <c r="H122" s="271"/>
    </row>
    <row r="123" spans="1:11" x14ac:dyDescent="0.2">
      <c r="A123" s="345" t="s">
        <v>89</v>
      </c>
      <c r="B123" s="345"/>
      <c r="C123" s="345"/>
      <c r="D123" s="345"/>
      <c r="E123" s="345"/>
      <c r="F123" s="345"/>
      <c r="G123" s="345"/>
      <c r="H123" s="345"/>
      <c r="K123" s="325"/>
    </row>
    <row r="124" spans="1:11" x14ac:dyDescent="0.2">
      <c r="A124" s="326" t="s">
        <v>93</v>
      </c>
      <c r="B124" s="326" t="s">
        <v>94</v>
      </c>
      <c r="C124" s="327"/>
      <c r="D124" s="327"/>
      <c r="E124" s="327"/>
      <c r="F124" s="327"/>
      <c r="G124" s="327"/>
      <c r="H124" s="328"/>
      <c r="I124" s="199"/>
      <c r="J124" s="199"/>
      <c r="K124" s="199"/>
    </row>
    <row r="125" spans="1:11" x14ac:dyDescent="0.2">
      <c r="A125" s="327"/>
      <c r="B125" s="326" t="s">
        <v>105</v>
      </c>
      <c r="C125" s="326"/>
      <c r="D125" s="326"/>
      <c r="E125" s="326"/>
      <c r="F125" s="326"/>
      <c r="G125" s="327"/>
      <c r="H125" s="328"/>
    </row>
    <row r="126" spans="1:11" x14ac:dyDescent="0.2">
      <c r="A126" s="326" t="s">
        <v>102</v>
      </c>
      <c r="B126" s="326" t="s">
        <v>104</v>
      </c>
      <c r="C126" s="326"/>
      <c r="D126" s="326"/>
      <c r="E126" s="326"/>
      <c r="F126" s="326"/>
      <c r="G126" s="327"/>
      <c r="H126" s="328"/>
      <c r="I126" s="199"/>
      <c r="J126" s="199"/>
    </row>
    <row r="128" spans="1:11" x14ac:dyDescent="0.2">
      <c r="A128" s="399" t="s">
        <v>65</v>
      </c>
      <c r="B128" s="400"/>
      <c r="C128" s="401" t="s">
        <v>66</v>
      </c>
      <c r="D128" s="403" t="s">
        <v>90</v>
      </c>
      <c r="E128" s="405" t="s">
        <v>76</v>
      </c>
      <c r="F128" s="406"/>
      <c r="G128" s="406"/>
      <c r="H128" s="407"/>
      <c r="I128" s="408" t="s">
        <v>70</v>
      </c>
      <c r="J128" s="410" t="s">
        <v>72</v>
      </c>
      <c r="K128" s="395" t="s">
        <v>91</v>
      </c>
    </row>
    <row r="129" spans="1:11" ht="24" x14ac:dyDescent="0.2">
      <c r="A129" s="397"/>
      <c r="B129" s="398"/>
      <c r="C129" s="402"/>
      <c r="D129" s="404"/>
      <c r="E129" s="322" t="s">
        <v>71</v>
      </c>
      <c r="F129" s="323" t="s">
        <v>67</v>
      </c>
      <c r="G129" s="323" t="s">
        <v>68</v>
      </c>
      <c r="H129" s="324" t="s">
        <v>69</v>
      </c>
      <c r="I129" s="409"/>
      <c r="J129" s="411"/>
      <c r="K129" s="396"/>
    </row>
    <row r="130" spans="1:11" x14ac:dyDescent="0.2">
      <c r="A130" s="321">
        <v>2023</v>
      </c>
      <c r="B130" s="302" t="s">
        <v>7</v>
      </c>
      <c r="C130" s="310">
        <v>8.49</v>
      </c>
      <c r="D130" s="360">
        <v>0.99</v>
      </c>
      <c r="E130" s="371">
        <v>3.1579999999999999</v>
      </c>
      <c r="F130" s="370">
        <v>0.41</v>
      </c>
      <c r="G130" s="372">
        <v>0.03</v>
      </c>
      <c r="H130" s="306">
        <f>E130+F130+G130</f>
        <v>3.5979999999999999</v>
      </c>
      <c r="I130" s="307">
        <f>(C130+D130+H130)*0.25</f>
        <v>3.2694999999999999</v>
      </c>
      <c r="J130" s="308">
        <f>C130+D130+H130+I130</f>
        <v>16.3475</v>
      </c>
      <c r="K130" s="309">
        <f>$K$4*J130/$J$4</f>
        <v>318.2058715032278</v>
      </c>
    </row>
    <row r="131" spans="1:11" x14ac:dyDescent="0.2">
      <c r="A131" s="301"/>
      <c r="B131" s="302" t="s">
        <v>8</v>
      </c>
      <c r="C131" s="302">
        <v>10.78</v>
      </c>
      <c r="D131" s="303">
        <v>0.99</v>
      </c>
      <c r="E131" s="304">
        <v>3.1579999999999999</v>
      </c>
      <c r="F131" s="361">
        <v>0.41</v>
      </c>
      <c r="G131" s="349">
        <v>0.03</v>
      </c>
      <c r="H131" s="306">
        <f t="shared" ref="H131:H137" si="28">E131+F131+G131</f>
        <v>3.5979999999999999</v>
      </c>
      <c r="I131" s="307">
        <f t="shared" ref="I131:I140" si="29">(C131+D131+H131)*0.25</f>
        <v>3.8419999999999996</v>
      </c>
      <c r="J131" s="308">
        <f t="shared" ref="J131:J141" si="30">C131+D131+H131+I131</f>
        <v>19.209999999999997</v>
      </c>
      <c r="K131" s="309">
        <f>$K$4*J131/$J$4</f>
        <v>373.92474638794954</v>
      </c>
    </row>
    <row r="132" spans="1:11" x14ac:dyDescent="0.2">
      <c r="A132" s="301"/>
      <c r="B132" s="302" t="s">
        <v>9</v>
      </c>
      <c r="C132" s="302">
        <v>5.99</v>
      </c>
      <c r="D132" s="360">
        <v>1</v>
      </c>
      <c r="E132" s="304">
        <v>3.1579999999999999</v>
      </c>
      <c r="F132" s="361">
        <v>0.41</v>
      </c>
      <c r="G132" s="349">
        <v>0.03</v>
      </c>
      <c r="H132" s="306">
        <f t="shared" si="28"/>
        <v>3.5979999999999999</v>
      </c>
      <c r="I132" s="307">
        <f t="shared" si="29"/>
        <v>2.6470000000000002</v>
      </c>
      <c r="J132" s="308">
        <f t="shared" si="30"/>
        <v>13.235000000000001</v>
      </c>
      <c r="K132" s="309">
        <f t="shared" ref="K132:K141" si="31">$K$4*J132/$J$4</f>
        <v>257.62071933599759</v>
      </c>
    </row>
    <row r="133" spans="1:11" x14ac:dyDescent="0.2">
      <c r="A133" s="301"/>
      <c r="B133" s="302" t="s">
        <v>10</v>
      </c>
      <c r="C133" s="310">
        <v>4.97</v>
      </c>
      <c r="D133" s="360">
        <v>1</v>
      </c>
      <c r="E133" s="304">
        <v>3.1579999999999999</v>
      </c>
      <c r="F133" s="361">
        <v>0.41</v>
      </c>
      <c r="G133" s="349">
        <v>0.03</v>
      </c>
      <c r="H133" s="306">
        <f t="shared" si="28"/>
        <v>3.5979999999999999</v>
      </c>
      <c r="I133" s="307">
        <f t="shared" si="29"/>
        <v>2.3919999999999999</v>
      </c>
      <c r="J133" s="308">
        <f t="shared" si="30"/>
        <v>11.959999999999999</v>
      </c>
      <c r="K133" s="309">
        <f t="shared" si="31"/>
        <v>232.80270519520442</v>
      </c>
    </row>
    <row r="134" spans="1:11" x14ac:dyDescent="0.2">
      <c r="A134" s="301"/>
      <c r="B134" s="302" t="s">
        <v>11</v>
      </c>
      <c r="C134" s="310">
        <v>4.13</v>
      </c>
      <c r="D134" s="360">
        <v>1</v>
      </c>
      <c r="E134" s="304">
        <v>3.1579999999999999</v>
      </c>
      <c r="F134" s="361">
        <v>0.41</v>
      </c>
      <c r="G134" s="349">
        <v>0.03</v>
      </c>
      <c r="H134" s="306">
        <f t="shared" si="28"/>
        <v>3.5979999999999999</v>
      </c>
      <c r="I134" s="307">
        <f t="shared" si="29"/>
        <v>2.1819999999999999</v>
      </c>
      <c r="J134" s="308">
        <f t="shared" si="30"/>
        <v>10.91</v>
      </c>
      <c r="K134" s="309">
        <f t="shared" si="31"/>
        <v>212.36434060866893</v>
      </c>
    </row>
    <row r="135" spans="1:11" x14ac:dyDescent="0.2">
      <c r="A135" s="301"/>
      <c r="B135" s="302" t="s">
        <v>12</v>
      </c>
      <c r="C135" s="302">
        <v>4.01</v>
      </c>
      <c r="D135" s="360">
        <v>1</v>
      </c>
      <c r="E135" s="304">
        <v>3.1579999999999999</v>
      </c>
      <c r="F135" s="361">
        <v>0.41</v>
      </c>
      <c r="G135" s="349">
        <v>0.03</v>
      </c>
      <c r="H135" s="306">
        <f t="shared" si="28"/>
        <v>3.5979999999999999</v>
      </c>
      <c r="I135" s="307">
        <f t="shared" si="29"/>
        <v>2.1520000000000001</v>
      </c>
      <c r="J135" s="308">
        <f t="shared" si="30"/>
        <v>10.760000000000002</v>
      </c>
      <c r="K135" s="309">
        <f t="shared" si="31"/>
        <v>209.4445742391639</v>
      </c>
    </row>
    <row r="136" spans="1:11" x14ac:dyDescent="0.2">
      <c r="A136" s="301"/>
      <c r="B136" s="302" t="s">
        <v>58</v>
      </c>
      <c r="C136" s="310">
        <v>2.99</v>
      </c>
      <c r="D136" s="360">
        <v>1</v>
      </c>
      <c r="E136" s="304">
        <v>3.1579999999999999</v>
      </c>
      <c r="F136" s="361">
        <v>0.41</v>
      </c>
      <c r="G136" s="349">
        <v>0.03</v>
      </c>
      <c r="H136" s="306">
        <f t="shared" si="28"/>
        <v>3.5979999999999999</v>
      </c>
      <c r="I136" s="307">
        <f t="shared" si="29"/>
        <v>1.897</v>
      </c>
      <c r="J136" s="308">
        <f t="shared" si="30"/>
        <v>9.4849999999999994</v>
      </c>
      <c r="K136" s="309">
        <f t="shared" si="31"/>
        <v>184.62656009837073</v>
      </c>
    </row>
    <row r="137" spans="1:11" x14ac:dyDescent="0.2">
      <c r="A137" s="301"/>
      <c r="B137" s="302" t="s">
        <v>13</v>
      </c>
      <c r="C137" s="310">
        <v>2.98</v>
      </c>
      <c r="D137" s="360">
        <v>1</v>
      </c>
      <c r="E137" s="304">
        <v>3.1579999999999999</v>
      </c>
      <c r="F137" s="361">
        <v>0.41</v>
      </c>
      <c r="G137" s="349">
        <v>0.03</v>
      </c>
      <c r="H137" s="306">
        <f t="shared" si="28"/>
        <v>3.5979999999999999</v>
      </c>
      <c r="I137" s="307">
        <f t="shared" si="29"/>
        <v>1.8944999999999999</v>
      </c>
      <c r="J137" s="308">
        <f t="shared" si="30"/>
        <v>9.4725000000000001</v>
      </c>
      <c r="K137" s="309">
        <f t="shared" si="31"/>
        <v>184.38324623424532</v>
      </c>
    </row>
    <row r="138" spans="1:11" x14ac:dyDescent="0.2">
      <c r="A138" s="301"/>
      <c r="B138" s="302" t="s">
        <v>14</v>
      </c>
      <c r="C138" s="310">
        <v>3.01</v>
      </c>
      <c r="D138" s="349">
        <v>1.35</v>
      </c>
      <c r="E138" s="304">
        <v>3.1579999999999999</v>
      </c>
      <c r="F138" s="361">
        <v>0.41</v>
      </c>
      <c r="G138" s="349">
        <v>0.03</v>
      </c>
      <c r="H138" s="306">
        <f>E138+F138+G138</f>
        <v>3.5979999999999999</v>
      </c>
      <c r="I138" s="307">
        <f t="shared" si="29"/>
        <v>1.9894999999999998</v>
      </c>
      <c r="J138" s="308">
        <f t="shared" si="30"/>
        <v>9.9474999999999998</v>
      </c>
      <c r="K138" s="309">
        <f t="shared" si="31"/>
        <v>193.62917307101139</v>
      </c>
    </row>
    <row r="139" spans="1:11" x14ac:dyDescent="0.2">
      <c r="A139" s="301"/>
      <c r="B139" s="302" t="s">
        <v>15</v>
      </c>
      <c r="C139" s="302">
        <v>3.34</v>
      </c>
      <c r="D139" s="349">
        <v>1.42</v>
      </c>
      <c r="E139" s="304">
        <v>3.1579999999999999</v>
      </c>
      <c r="F139" s="361">
        <v>0.41</v>
      </c>
      <c r="G139" s="349">
        <v>0.03</v>
      </c>
      <c r="H139" s="306">
        <f>E139+F139+G139</f>
        <v>3.5979999999999999</v>
      </c>
      <c r="I139" s="307">
        <f t="shared" si="29"/>
        <v>2.0895000000000001</v>
      </c>
      <c r="J139" s="308">
        <f t="shared" si="30"/>
        <v>10.447500000000002</v>
      </c>
      <c r="K139" s="309">
        <f t="shared" si="31"/>
        <v>203.36172763602832</v>
      </c>
    </row>
    <row r="140" spans="1:11" x14ac:dyDescent="0.2">
      <c r="A140" s="301"/>
      <c r="B140" s="302" t="s">
        <v>16</v>
      </c>
      <c r="C140" s="310">
        <v>3.53</v>
      </c>
      <c r="D140" s="358">
        <v>1.34</v>
      </c>
      <c r="E140" s="304">
        <v>3.1579999999999999</v>
      </c>
      <c r="F140" s="361">
        <v>0.41</v>
      </c>
      <c r="G140" s="349">
        <v>0.03</v>
      </c>
      <c r="H140" s="306">
        <f>E140+F140+G140</f>
        <v>3.5979999999999999</v>
      </c>
      <c r="I140" s="307">
        <f t="shared" si="29"/>
        <v>2.117</v>
      </c>
      <c r="J140" s="308">
        <f t="shared" si="30"/>
        <v>10.585000000000001</v>
      </c>
      <c r="K140" s="309">
        <f t="shared" si="31"/>
        <v>206.03818014140796</v>
      </c>
    </row>
    <row r="141" spans="1:11" x14ac:dyDescent="0.2">
      <c r="A141" s="312"/>
      <c r="B141" s="313" t="s">
        <v>17</v>
      </c>
      <c r="C141" s="355">
        <v>4.0999999999999996</v>
      </c>
      <c r="D141" s="358">
        <v>1.35</v>
      </c>
      <c r="E141" s="373">
        <v>3.1579999999999999</v>
      </c>
      <c r="F141" s="365">
        <v>0.41</v>
      </c>
      <c r="G141" s="354">
        <v>0.03</v>
      </c>
      <c r="H141" s="317">
        <f>E141+F141+G141</f>
        <v>3.5979999999999999</v>
      </c>
      <c r="I141" s="318">
        <f>(C141+D141+H141)*0.25</f>
        <v>2.2619999999999996</v>
      </c>
      <c r="J141" s="319">
        <f t="shared" si="30"/>
        <v>11.309999999999999</v>
      </c>
      <c r="K141" s="320">
        <f t="shared" si="31"/>
        <v>220.15038426068242</v>
      </c>
    </row>
    <row r="142" spans="1:11" x14ac:dyDescent="0.2">
      <c r="A142" s="343" t="s">
        <v>97</v>
      </c>
      <c r="B142" s="343" t="s">
        <v>98</v>
      </c>
      <c r="C142" s="343"/>
      <c r="D142" s="343"/>
      <c r="E142" s="343"/>
      <c r="F142" s="343"/>
      <c r="G142" s="343"/>
      <c r="H142" s="344"/>
      <c r="I142" s="342"/>
      <c r="J142" s="342"/>
      <c r="K142" s="342"/>
    </row>
    <row r="143" spans="1:11" x14ac:dyDescent="0.2">
      <c r="A143" s="274" t="s">
        <v>87</v>
      </c>
      <c r="B143" s="274" t="s">
        <v>88</v>
      </c>
      <c r="C143" s="271"/>
      <c r="D143" s="271"/>
      <c r="E143" s="271"/>
      <c r="F143" s="271"/>
      <c r="G143" s="271"/>
      <c r="H143" s="271"/>
    </row>
    <row r="144" spans="1:11" x14ac:dyDescent="0.2">
      <c r="A144" s="345" t="s">
        <v>89</v>
      </c>
      <c r="B144" s="345"/>
      <c r="C144" s="345"/>
      <c r="D144" s="345"/>
      <c r="E144" s="345"/>
      <c r="F144" s="345"/>
      <c r="G144" s="345"/>
      <c r="H144" s="345"/>
      <c r="K144" s="325"/>
    </row>
    <row r="145" spans="1:12" x14ac:dyDescent="0.2">
      <c r="A145" s="326" t="s">
        <v>93</v>
      </c>
      <c r="B145" s="326" t="s">
        <v>94</v>
      </c>
      <c r="C145" s="327"/>
      <c r="D145" s="327"/>
      <c r="E145" s="327"/>
      <c r="F145" s="327"/>
      <c r="G145" s="327"/>
      <c r="H145" s="328"/>
      <c r="I145" s="199"/>
      <c r="J145" s="199"/>
      <c r="K145" s="199"/>
    </row>
    <row r="146" spans="1:12" x14ac:dyDescent="0.2">
      <c r="A146" s="327"/>
      <c r="B146" s="326" t="s">
        <v>105</v>
      </c>
      <c r="C146" s="326"/>
      <c r="D146" s="326"/>
      <c r="E146" s="326"/>
      <c r="F146" s="326"/>
      <c r="G146" s="327"/>
      <c r="H146" s="328"/>
    </row>
    <row r="147" spans="1:12" x14ac:dyDescent="0.2">
      <c r="A147" s="326" t="s">
        <v>102</v>
      </c>
      <c r="B147" s="326" t="s">
        <v>104</v>
      </c>
      <c r="C147" s="326"/>
      <c r="D147" s="326"/>
      <c r="E147" s="326"/>
      <c r="F147" s="326"/>
      <c r="G147" s="327"/>
      <c r="H147" s="328"/>
      <c r="I147" s="199"/>
      <c r="J147" s="199"/>
    </row>
    <row r="148" spans="1:12" x14ac:dyDescent="0.2">
      <c r="A148" s="326" t="s">
        <v>107</v>
      </c>
      <c r="B148" s="326" t="s">
        <v>108</v>
      </c>
      <c r="C148" s="326"/>
      <c r="D148" s="326"/>
      <c r="E148" s="326"/>
      <c r="F148" s="326"/>
      <c r="G148" s="327"/>
      <c r="H148" s="328"/>
      <c r="L148" s="327"/>
    </row>
    <row r="149" spans="1:12" x14ac:dyDescent="0.2">
      <c r="A149" s="326"/>
      <c r="B149" s="326" t="s">
        <v>111</v>
      </c>
      <c r="C149" s="326"/>
      <c r="D149" s="326"/>
      <c r="E149" s="326"/>
      <c r="F149" s="326"/>
      <c r="G149" s="327"/>
      <c r="H149" s="328"/>
      <c r="I149" s="199"/>
      <c r="J149" s="199"/>
      <c r="L149" s="327"/>
    </row>
    <row r="150" spans="1:12" x14ac:dyDescent="0.2">
      <c r="A150" s="326"/>
      <c r="B150" s="326" t="s">
        <v>110</v>
      </c>
      <c r="C150" s="326"/>
      <c r="D150" s="326"/>
      <c r="E150" s="326"/>
      <c r="F150" s="326"/>
      <c r="G150" s="327"/>
      <c r="H150" s="328"/>
      <c r="L150" s="327"/>
    </row>
    <row r="152" spans="1:12" x14ac:dyDescent="0.2">
      <c r="A152" s="399" t="s">
        <v>65</v>
      </c>
      <c r="B152" s="400"/>
      <c r="C152" s="401" t="s">
        <v>66</v>
      </c>
      <c r="D152" s="403" t="s">
        <v>90</v>
      </c>
      <c r="E152" s="405" t="s">
        <v>76</v>
      </c>
      <c r="F152" s="406"/>
      <c r="G152" s="406"/>
      <c r="H152" s="407"/>
      <c r="I152" s="408" t="s">
        <v>70</v>
      </c>
      <c r="J152" s="410" t="s">
        <v>72</v>
      </c>
      <c r="K152" s="395" t="s">
        <v>91</v>
      </c>
    </row>
    <row r="153" spans="1:12" ht="24" x14ac:dyDescent="0.2">
      <c r="A153" s="397"/>
      <c r="B153" s="398"/>
      <c r="C153" s="402"/>
      <c r="D153" s="404"/>
      <c r="E153" s="322" t="s">
        <v>71</v>
      </c>
      <c r="F153" s="323" t="s">
        <v>67</v>
      </c>
      <c r="G153" s="323" t="s">
        <v>68</v>
      </c>
      <c r="H153" s="324" t="s">
        <v>69</v>
      </c>
      <c r="I153" s="409"/>
      <c r="J153" s="411"/>
      <c r="K153" s="396"/>
    </row>
    <row r="154" spans="1:12" x14ac:dyDescent="0.2">
      <c r="A154" s="321">
        <v>2024</v>
      </c>
      <c r="B154" s="302" t="s">
        <v>7</v>
      </c>
      <c r="C154" s="310">
        <v>4.22</v>
      </c>
      <c r="D154" s="360">
        <v>1.35</v>
      </c>
      <c r="E154" s="371">
        <v>3.4</v>
      </c>
      <c r="F154" s="370">
        <v>0.442</v>
      </c>
      <c r="G154" s="372">
        <v>3.2000000000000001E-2</v>
      </c>
      <c r="H154" s="306">
        <f>E154+F154+G154</f>
        <v>3.8740000000000001</v>
      </c>
      <c r="I154" s="307">
        <f>(C154+D154+H154)*0.25</f>
        <v>2.3610000000000002</v>
      </c>
      <c r="J154" s="308">
        <f>C154+D154+H154+I154</f>
        <v>11.805000000000001</v>
      </c>
      <c r="K154" s="309">
        <f>$K$4*J154/$J$4</f>
        <v>229.7856132800492</v>
      </c>
    </row>
    <row r="155" spans="1:12" x14ac:dyDescent="0.2">
      <c r="A155" s="301"/>
      <c r="B155" s="302" t="s">
        <v>8</v>
      </c>
      <c r="C155" s="302">
        <v>3.42</v>
      </c>
      <c r="D155" s="360">
        <v>1.35</v>
      </c>
      <c r="E155" s="304">
        <v>3.4</v>
      </c>
      <c r="F155" s="361">
        <v>0.442</v>
      </c>
      <c r="G155" s="349">
        <v>3.2000000000000001E-2</v>
      </c>
      <c r="H155" s="306">
        <f t="shared" ref="H155:H161" si="32">E155+F155+G155</f>
        <v>3.8740000000000001</v>
      </c>
      <c r="I155" s="307">
        <f t="shared" ref="I155:I164" si="33">(C155+D155+H155)*0.25</f>
        <v>2.161</v>
      </c>
      <c r="J155" s="308">
        <f t="shared" ref="J155:J165" si="34">C155+D155+H155+I155</f>
        <v>10.805</v>
      </c>
      <c r="K155" s="309">
        <f>$K$4*J155/$J$4</f>
        <v>210.32050415001538</v>
      </c>
    </row>
    <row r="156" spans="1:12" x14ac:dyDescent="0.2">
      <c r="A156" s="301"/>
      <c r="B156" s="302" t="s">
        <v>9</v>
      </c>
      <c r="C156" s="302">
        <v>2.94</v>
      </c>
      <c r="D156" s="360">
        <v>1.35</v>
      </c>
      <c r="E156" s="304">
        <v>3.4</v>
      </c>
      <c r="F156" s="361">
        <v>0.442</v>
      </c>
      <c r="G156" s="349">
        <v>3.2000000000000001E-2</v>
      </c>
      <c r="H156" s="306">
        <f t="shared" si="32"/>
        <v>3.8740000000000001</v>
      </c>
      <c r="I156" s="307">
        <f t="shared" si="33"/>
        <v>2.0409999999999999</v>
      </c>
      <c r="J156" s="308">
        <f t="shared" si="34"/>
        <v>10.205</v>
      </c>
      <c r="K156" s="309">
        <f t="shared" ref="K156:K165" si="35">$K$4*J156/$J$4</f>
        <v>198.64143867199508</v>
      </c>
    </row>
    <row r="157" spans="1:12" x14ac:dyDescent="0.2">
      <c r="A157" s="301"/>
      <c r="B157" s="302" t="s">
        <v>10</v>
      </c>
      <c r="C157" s="310">
        <v>2.38</v>
      </c>
      <c r="D157" s="360">
        <v>1.37</v>
      </c>
      <c r="E157" s="304">
        <v>3.4</v>
      </c>
      <c r="F157" s="361">
        <v>0.442</v>
      </c>
      <c r="G157" s="349">
        <v>3.2000000000000001E-2</v>
      </c>
      <c r="H157" s="306">
        <f t="shared" si="32"/>
        <v>3.8740000000000001</v>
      </c>
      <c r="I157" s="307">
        <f t="shared" si="33"/>
        <v>1.9060000000000001</v>
      </c>
      <c r="J157" s="308">
        <f t="shared" si="34"/>
        <v>9.5300000000000011</v>
      </c>
      <c r="K157" s="309">
        <f t="shared" si="35"/>
        <v>185.5024900092223</v>
      </c>
    </row>
    <row r="158" spans="1:12" x14ac:dyDescent="0.2">
      <c r="A158" s="301"/>
      <c r="B158" s="302" t="s">
        <v>11</v>
      </c>
      <c r="C158" s="310">
        <v>2.4700000000000002</v>
      </c>
      <c r="D158" s="360">
        <v>1.35</v>
      </c>
      <c r="E158" s="304">
        <v>3.4</v>
      </c>
      <c r="F158" s="361">
        <v>0.442</v>
      </c>
      <c r="G158" s="349">
        <v>3.2000000000000001E-2</v>
      </c>
      <c r="H158" s="306">
        <f t="shared" si="32"/>
        <v>3.8740000000000001</v>
      </c>
      <c r="I158" s="307">
        <f t="shared" si="33"/>
        <v>1.9235000000000002</v>
      </c>
      <c r="J158" s="308">
        <f t="shared" si="34"/>
        <v>9.6175000000000015</v>
      </c>
      <c r="K158" s="309">
        <f t="shared" si="35"/>
        <v>187.20568705810024</v>
      </c>
    </row>
    <row r="159" spans="1:12" x14ac:dyDescent="0.2">
      <c r="A159" s="301"/>
      <c r="B159" s="302" t="s">
        <v>12</v>
      </c>
      <c r="C159" s="302">
        <v>2.71</v>
      </c>
      <c r="D159" s="360">
        <v>1.8</v>
      </c>
      <c r="E159" s="304">
        <v>3.4</v>
      </c>
      <c r="F159" s="361">
        <v>0.442</v>
      </c>
      <c r="G159" s="349">
        <v>3.2000000000000001E-2</v>
      </c>
      <c r="H159" s="306">
        <f t="shared" si="32"/>
        <v>3.8740000000000001</v>
      </c>
      <c r="I159" s="307">
        <f t="shared" si="33"/>
        <v>2.0960000000000001</v>
      </c>
      <c r="J159" s="308">
        <f t="shared" si="34"/>
        <v>10.48</v>
      </c>
      <c r="K159" s="309">
        <f>$K$4*J159/$J$4</f>
        <v>203.99434368275439</v>
      </c>
    </row>
    <row r="160" spans="1:12" x14ac:dyDescent="0.2">
      <c r="A160" s="301"/>
      <c r="B160" s="302" t="s">
        <v>58</v>
      </c>
      <c r="C160" s="310">
        <v>2.98</v>
      </c>
      <c r="D160" s="360">
        <v>1.79</v>
      </c>
      <c r="E160" s="304">
        <v>3.4</v>
      </c>
      <c r="F160" s="361">
        <v>0.442</v>
      </c>
      <c r="G160" s="349">
        <v>3.2000000000000001E-2</v>
      </c>
      <c r="H160" s="379">
        <f>E160+F160+G160</f>
        <v>3.8740000000000001</v>
      </c>
      <c r="I160" s="307">
        <f t="shared" si="33"/>
        <v>2.161</v>
      </c>
      <c r="J160" s="308">
        <f>C160+D160+H160+I160</f>
        <v>10.805</v>
      </c>
      <c r="K160" s="309">
        <f>$K$4*J160/$J$4</f>
        <v>210.32050415001538</v>
      </c>
    </row>
    <row r="161" spans="1:12" x14ac:dyDescent="0.2">
      <c r="A161" s="301"/>
      <c r="B161" s="302" t="s">
        <v>13</v>
      </c>
      <c r="C161" s="310">
        <v>3.24</v>
      </c>
      <c r="D161" s="360">
        <v>1.78</v>
      </c>
      <c r="E161" s="304">
        <v>3.4</v>
      </c>
      <c r="F161" s="361">
        <v>0.442</v>
      </c>
      <c r="G161" s="349">
        <v>3.2000000000000001E-2</v>
      </c>
      <c r="H161" s="306">
        <f t="shared" si="32"/>
        <v>3.8740000000000001</v>
      </c>
      <c r="I161" s="307">
        <f t="shared" si="33"/>
        <v>2.2235</v>
      </c>
      <c r="J161" s="308">
        <f t="shared" si="34"/>
        <v>11.1175</v>
      </c>
      <c r="K161" s="309">
        <f t="shared" si="35"/>
        <v>216.40335075315096</v>
      </c>
    </row>
    <row r="162" spans="1:12" x14ac:dyDescent="0.2">
      <c r="A162" s="301"/>
      <c r="B162" s="302" t="s">
        <v>14</v>
      </c>
      <c r="C162" s="310">
        <v>3.05</v>
      </c>
      <c r="D162" s="349">
        <v>1.79</v>
      </c>
      <c r="E162" s="304">
        <v>3.4</v>
      </c>
      <c r="F162" s="361">
        <v>0.442</v>
      </c>
      <c r="G162" s="349">
        <v>3.2000000000000001E-2</v>
      </c>
      <c r="H162" s="306">
        <f>E162+F162+G162</f>
        <v>3.8740000000000001</v>
      </c>
      <c r="I162" s="307">
        <f t="shared" si="33"/>
        <v>2.1785000000000001</v>
      </c>
      <c r="J162" s="308">
        <f t="shared" si="34"/>
        <v>10.8925</v>
      </c>
      <c r="K162" s="309">
        <f t="shared" si="35"/>
        <v>212.02370119889332</v>
      </c>
    </row>
    <row r="163" spans="1:12" x14ac:dyDescent="0.2">
      <c r="A163" s="301"/>
      <c r="B163" s="302" t="s">
        <v>15</v>
      </c>
      <c r="C163" s="302">
        <v>3.65</v>
      </c>
      <c r="D163" s="349">
        <v>1.8</v>
      </c>
      <c r="E163" s="304">
        <v>3.4</v>
      </c>
      <c r="F163" s="361">
        <v>0.442</v>
      </c>
      <c r="G163" s="349">
        <v>3.2000000000000001E-2</v>
      </c>
      <c r="H163" s="306">
        <f>E163+F163+G163</f>
        <v>3.8740000000000001</v>
      </c>
      <c r="I163" s="307">
        <f t="shared" si="33"/>
        <v>2.331</v>
      </c>
      <c r="J163" s="308">
        <f t="shared" si="34"/>
        <v>11.654999999999999</v>
      </c>
      <c r="K163" s="309">
        <f t="shared" si="35"/>
        <v>226.86584691054409</v>
      </c>
    </row>
    <row r="164" spans="1:12" x14ac:dyDescent="0.2">
      <c r="A164" s="301"/>
      <c r="B164" s="302" t="s">
        <v>16</v>
      </c>
      <c r="C164" s="310">
        <v>3.64</v>
      </c>
      <c r="D164" s="358">
        <v>1.8</v>
      </c>
      <c r="E164" s="304">
        <v>3.4</v>
      </c>
      <c r="F164" s="361">
        <v>0.442</v>
      </c>
      <c r="G164" s="349">
        <v>3.2000000000000001E-2</v>
      </c>
      <c r="H164" s="306">
        <f>E164+F164+G164</f>
        <v>3.8740000000000001</v>
      </c>
      <c r="I164" s="307">
        <f t="shared" si="33"/>
        <v>2.3285</v>
      </c>
      <c r="J164" s="308">
        <f t="shared" si="34"/>
        <v>11.6425</v>
      </c>
      <c r="K164" s="309">
        <f t="shared" si="35"/>
        <v>226.62253304641871</v>
      </c>
    </row>
    <row r="165" spans="1:12" x14ac:dyDescent="0.2">
      <c r="A165" s="312"/>
      <c r="B165" s="313" t="s">
        <v>17</v>
      </c>
      <c r="C165" s="355">
        <v>3.8</v>
      </c>
      <c r="D165" s="358">
        <v>1.72</v>
      </c>
      <c r="E165" s="373">
        <v>3.4</v>
      </c>
      <c r="F165" s="365">
        <v>0.442</v>
      </c>
      <c r="G165" s="354">
        <v>3.2000000000000001E-2</v>
      </c>
      <c r="H165" s="317">
        <f>E165+F165+G165</f>
        <v>3.8740000000000001</v>
      </c>
      <c r="I165" s="318">
        <f>(C165+D165+H165)*0.25</f>
        <v>2.3485</v>
      </c>
      <c r="J165" s="319">
        <f t="shared" si="34"/>
        <v>11.7425</v>
      </c>
      <c r="K165" s="320">
        <f t="shared" si="35"/>
        <v>228.56904395942209</v>
      </c>
    </row>
    <row r="166" spans="1:12" x14ac:dyDescent="0.2">
      <c r="A166" s="343" t="s">
        <v>97</v>
      </c>
      <c r="B166" s="343" t="s">
        <v>98</v>
      </c>
      <c r="C166" s="343"/>
      <c r="D166" s="343"/>
      <c r="E166" s="343"/>
      <c r="F166" s="343"/>
      <c r="G166" s="343"/>
      <c r="H166" s="344"/>
      <c r="I166" s="342"/>
      <c r="J166" s="342"/>
      <c r="K166" s="342"/>
    </row>
    <row r="167" spans="1:12" x14ac:dyDescent="0.2">
      <c r="A167" s="387" t="s">
        <v>114</v>
      </c>
      <c r="B167" s="387" t="s">
        <v>115</v>
      </c>
      <c r="C167" s="387"/>
      <c r="D167" s="387"/>
      <c r="E167" s="387"/>
      <c r="F167" s="387"/>
      <c r="G167" s="387"/>
      <c r="H167" s="388"/>
      <c r="I167" s="385"/>
      <c r="J167" s="385"/>
      <c r="K167" s="383"/>
      <c r="L167" s="386"/>
    </row>
    <row r="168" spans="1:12" x14ac:dyDescent="0.2">
      <c r="A168" s="274" t="s">
        <v>87</v>
      </c>
      <c r="B168" s="274" t="s">
        <v>88</v>
      </c>
      <c r="C168" s="271"/>
      <c r="D168" s="271"/>
      <c r="E168" s="271"/>
      <c r="F168" s="271"/>
      <c r="G168" s="271"/>
      <c r="H168" s="271"/>
    </row>
    <row r="169" spans="1:12" x14ac:dyDescent="0.2">
      <c r="A169" s="345" t="s">
        <v>89</v>
      </c>
      <c r="B169" s="345"/>
      <c r="C169" s="345"/>
      <c r="D169" s="345"/>
      <c r="E169" s="345"/>
      <c r="F169" s="345"/>
      <c r="G169" s="345"/>
      <c r="H169" s="345"/>
      <c r="K169" s="325"/>
    </row>
    <row r="170" spans="1:12" x14ac:dyDescent="0.2">
      <c r="A170" s="326" t="s">
        <v>93</v>
      </c>
      <c r="B170" s="326" t="s">
        <v>94</v>
      </c>
      <c r="C170" s="327"/>
      <c r="D170" s="327"/>
      <c r="E170" s="327"/>
      <c r="F170" s="327"/>
      <c r="G170" s="327"/>
      <c r="H170" s="328"/>
      <c r="I170" s="199"/>
      <c r="J170" s="199"/>
      <c r="K170" s="199"/>
    </row>
    <row r="171" spans="1:12" x14ac:dyDescent="0.2">
      <c r="A171" s="327"/>
      <c r="B171" s="326" t="s">
        <v>105</v>
      </c>
      <c r="C171" s="326"/>
      <c r="D171" s="326"/>
      <c r="E171" s="326"/>
      <c r="F171" s="326"/>
      <c r="G171" s="327"/>
      <c r="H171" s="328"/>
    </row>
    <row r="172" spans="1:12" x14ac:dyDescent="0.2">
      <c r="A172" s="326" t="s">
        <v>102</v>
      </c>
      <c r="B172" s="326" t="s">
        <v>104</v>
      </c>
      <c r="C172" s="326"/>
      <c r="D172" s="326"/>
      <c r="E172" s="326"/>
      <c r="F172" s="326"/>
      <c r="G172" s="327"/>
      <c r="H172" s="328"/>
      <c r="I172" s="199"/>
      <c r="J172" s="199"/>
    </row>
    <row r="173" spans="1:12" x14ac:dyDescent="0.2">
      <c r="A173" s="326" t="s">
        <v>107</v>
      </c>
      <c r="B173" s="326" t="s">
        <v>108</v>
      </c>
      <c r="C173" s="326"/>
      <c r="D173" s="326"/>
      <c r="E173" s="326"/>
      <c r="F173" s="326"/>
      <c r="G173" s="327"/>
      <c r="H173" s="328"/>
    </row>
    <row r="174" spans="1:12" x14ac:dyDescent="0.2">
      <c r="A174" s="326"/>
      <c r="B174" s="326" t="s">
        <v>111</v>
      </c>
      <c r="C174" s="326"/>
      <c r="D174" s="326"/>
      <c r="E174" s="326"/>
      <c r="F174" s="326"/>
      <c r="G174" s="327"/>
      <c r="H174" s="328"/>
      <c r="I174" s="199"/>
      <c r="J174" s="199"/>
    </row>
    <row r="175" spans="1:12" x14ac:dyDescent="0.2">
      <c r="A175" s="326"/>
      <c r="B175" s="326" t="s">
        <v>110</v>
      </c>
      <c r="C175" s="326"/>
      <c r="D175" s="326"/>
      <c r="E175" s="326"/>
      <c r="F175" s="326"/>
      <c r="G175" s="327"/>
      <c r="H175" s="328"/>
    </row>
    <row r="177" spans="1:11" x14ac:dyDescent="0.2">
      <c r="A177" s="399" t="s">
        <v>65</v>
      </c>
      <c r="B177" s="400"/>
      <c r="C177" s="401" t="s">
        <v>66</v>
      </c>
      <c r="D177" s="403" t="s">
        <v>90</v>
      </c>
      <c r="E177" s="405" t="s">
        <v>76</v>
      </c>
      <c r="F177" s="406"/>
      <c r="G177" s="406"/>
      <c r="H177" s="407"/>
      <c r="I177" s="408" t="s">
        <v>70</v>
      </c>
      <c r="J177" s="410" t="s">
        <v>72</v>
      </c>
      <c r="K177" s="395" t="s">
        <v>91</v>
      </c>
    </row>
    <row r="178" spans="1:11" ht="24" x14ac:dyDescent="0.2">
      <c r="A178" s="397"/>
      <c r="B178" s="398"/>
      <c r="C178" s="402"/>
      <c r="D178" s="404"/>
      <c r="E178" s="322" t="s">
        <v>71</v>
      </c>
      <c r="F178" s="323" t="s">
        <v>67</v>
      </c>
      <c r="G178" s="323" t="s">
        <v>68</v>
      </c>
      <c r="H178" s="324" t="s">
        <v>69</v>
      </c>
      <c r="I178" s="409"/>
      <c r="J178" s="411"/>
      <c r="K178" s="396"/>
    </row>
    <row r="179" spans="1:11" x14ac:dyDescent="0.2">
      <c r="A179" s="321">
        <v>2025</v>
      </c>
      <c r="B179" s="302" t="s">
        <v>7</v>
      </c>
      <c r="C179" s="310">
        <v>4.13</v>
      </c>
      <c r="D179" s="360">
        <v>1.73</v>
      </c>
      <c r="E179" s="371">
        <v>1.754</v>
      </c>
      <c r="F179" s="370">
        <v>1.9219999999999999</v>
      </c>
      <c r="G179" s="372">
        <v>3.4000000000000002E-2</v>
      </c>
      <c r="H179" s="306">
        <f>E179+F179+G179</f>
        <v>3.71</v>
      </c>
      <c r="I179" s="307">
        <f>(C179+D179+H179)*0.25</f>
        <v>2.3925000000000001</v>
      </c>
      <c r="J179" s="308">
        <f t="shared" ref="J179:J190" si="36">C179+D179+H179+I179</f>
        <v>11.9625</v>
      </c>
      <c r="K179" s="309">
        <f t="shared" ref="K179:K185" si="37">$K$4*J179/$J$4</f>
        <v>232.85136796802954</v>
      </c>
    </row>
    <row r="180" spans="1:11" x14ac:dyDescent="0.2">
      <c r="A180" s="301"/>
      <c r="B180" s="302" t="s">
        <v>8</v>
      </c>
      <c r="C180" s="302">
        <v>4.26</v>
      </c>
      <c r="D180" s="360">
        <v>1.72</v>
      </c>
      <c r="E180" s="304">
        <v>1.754</v>
      </c>
      <c r="F180" s="361">
        <v>1.9219999999999999</v>
      </c>
      <c r="G180" s="349">
        <v>3.4000000000000002E-2</v>
      </c>
      <c r="H180" s="306">
        <f t="shared" ref="H180:H185" si="38">E180+F180+G180</f>
        <v>3.71</v>
      </c>
      <c r="I180" s="307">
        <f t="shared" ref="I180:I189" si="39">(C180+D180+H180)*0.25</f>
        <v>2.4224999999999999</v>
      </c>
      <c r="J180" s="308">
        <f t="shared" si="36"/>
        <v>12.112499999999999</v>
      </c>
      <c r="K180" s="309">
        <f t="shared" si="37"/>
        <v>235.77113433753459</v>
      </c>
    </row>
    <row r="181" spans="1:11" x14ac:dyDescent="0.2">
      <c r="A181" s="301"/>
      <c r="B181" s="302" t="s">
        <v>9</v>
      </c>
      <c r="C181" s="302">
        <v>4.49</v>
      </c>
      <c r="D181" s="360">
        <v>1.72</v>
      </c>
      <c r="E181" s="304">
        <v>1.754</v>
      </c>
      <c r="F181" s="361">
        <v>1.9219999999999999</v>
      </c>
      <c r="G181" s="349">
        <v>3.4000000000000002E-2</v>
      </c>
      <c r="H181" s="306">
        <f t="shared" si="38"/>
        <v>3.71</v>
      </c>
      <c r="I181" s="307">
        <f t="shared" si="39"/>
        <v>2.48</v>
      </c>
      <c r="J181" s="308">
        <f t="shared" si="36"/>
        <v>12.4</v>
      </c>
      <c r="K181" s="309">
        <f t="shared" si="37"/>
        <v>241.36735321241935</v>
      </c>
    </row>
    <row r="182" spans="1:11" x14ac:dyDescent="0.2">
      <c r="A182" s="301"/>
      <c r="B182" s="302" t="s">
        <v>10</v>
      </c>
      <c r="C182" s="310">
        <v>4.8</v>
      </c>
      <c r="D182" s="360">
        <v>1.72</v>
      </c>
      <c r="E182" s="304">
        <v>1.754</v>
      </c>
      <c r="F182" s="361">
        <v>1.9219999999999999</v>
      </c>
      <c r="G182" s="349">
        <v>3.4000000000000002E-2</v>
      </c>
      <c r="H182" s="306">
        <f t="shared" si="38"/>
        <v>3.71</v>
      </c>
      <c r="I182" s="307">
        <f t="shared" si="39"/>
        <v>2.5575000000000001</v>
      </c>
      <c r="J182" s="308">
        <f t="shared" si="36"/>
        <v>12.787500000000001</v>
      </c>
      <c r="K182" s="309">
        <f t="shared" si="37"/>
        <v>248.91008300030745</v>
      </c>
    </row>
    <row r="183" spans="1:11" x14ac:dyDescent="0.2">
      <c r="A183" s="301"/>
      <c r="B183" s="302" t="s">
        <v>11</v>
      </c>
      <c r="C183" s="310">
        <v>3.92</v>
      </c>
      <c r="D183" s="360">
        <v>1.72</v>
      </c>
      <c r="E183" s="304">
        <v>1.754</v>
      </c>
      <c r="F183" s="361">
        <v>1.9219999999999999</v>
      </c>
      <c r="G183" s="349">
        <v>3.4000000000000002E-2</v>
      </c>
      <c r="H183" s="306">
        <f t="shared" si="38"/>
        <v>3.71</v>
      </c>
      <c r="I183" s="307">
        <f t="shared" si="39"/>
        <v>2.3374999999999999</v>
      </c>
      <c r="J183" s="308">
        <f t="shared" si="36"/>
        <v>11.6875</v>
      </c>
      <c r="K183" s="309">
        <f t="shared" si="37"/>
        <v>227.49846295727022</v>
      </c>
    </row>
    <row r="184" spans="1:11" x14ac:dyDescent="0.2">
      <c r="A184" s="301"/>
      <c r="B184" s="302" t="s">
        <v>12</v>
      </c>
      <c r="C184" s="302">
        <v>3.3</v>
      </c>
      <c r="D184" s="360">
        <v>1.21</v>
      </c>
      <c r="E184" s="304">
        <v>1.754</v>
      </c>
      <c r="F184" s="361">
        <v>1.9219999999999999</v>
      </c>
      <c r="G184" s="349">
        <v>3.4000000000000002E-2</v>
      </c>
      <c r="H184" s="306">
        <f t="shared" si="38"/>
        <v>3.71</v>
      </c>
      <c r="I184" s="307">
        <f t="shared" si="39"/>
        <v>2.0549999999999997</v>
      </c>
      <c r="J184" s="308">
        <f t="shared" si="36"/>
        <v>10.274999999999999</v>
      </c>
      <c r="K184" s="309">
        <f t="shared" si="37"/>
        <v>200.00399631109741</v>
      </c>
    </row>
    <row r="185" spans="1:11" x14ac:dyDescent="0.2">
      <c r="A185" s="301"/>
      <c r="B185" s="302" t="s">
        <v>58</v>
      </c>
      <c r="C185" s="310">
        <v>3.24</v>
      </c>
      <c r="D185" s="360">
        <v>1.21</v>
      </c>
      <c r="E185" s="304">
        <v>1.754</v>
      </c>
      <c r="F185" s="361">
        <v>1.9219999999999999</v>
      </c>
      <c r="G185" s="349">
        <v>3.4000000000000002E-2</v>
      </c>
      <c r="H185" s="306">
        <f t="shared" si="38"/>
        <v>3.71</v>
      </c>
      <c r="I185" s="307">
        <f t="shared" si="39"/>
        <v>2.04</v>
      </c>
      <c r="J185" s="308">
        <f t="shared" si="36"/>
        <v>10.199999999999999</v>
      </c>
      <c r="K185" s="309">
        <f t="shared" si="37"/>
        <v>198.54411312634491</v>
      </c>
    </row>
    <row r="186" spans="1:11" x14ac:dyDescent="0.2">
      <c r="A186" s="301"/>
      <c r="B186" s="302" t="s">
        <v>13</v>
      </c>
      <c r="C186" s="310"/>
      <c r="D186" s="360"/>
      <c r="E186" s="304">
        <v>1.754</v>
      </c>
      <c r="F186" s="361">
        <v>1.9219999999999999</v>
      </c>
      <c r="G186" s="349">
        <v>3.4000000000000002E-2</v>
      </c>
      <c r="H186" s="306">
        <f>E186+F186+G186</f>
        <v>3.71</v>
      </c>
      <c r="I186" s="307">
        <f t="shared" si="39"/>
        <v>0.92749999999999999</v>
      </c>
      <c r="J186" s="308">
        <f t="shared" si="36"/>
        <v>4.6375000000000002</v>
      </c>
      <c r="K186" s="309">
        <f>$K$4*J186/$J$4</f>
        <v>90.269443590531822</v>
      </c>
    </row>
    <row r="187" spans="1:11" x14ac:dyDescent="0.2">
      <c r="A187" s="301"/>
      <c r="B187" s="302" t="s">
        <v>14</v>
      </c>
      <c r="C187" s="310"/>
      <c r="D187" s="349"/>
      <c r="E187" s="304">
        <v>1.754</v>
      </c>
      <c r="F187" s="361">
        <v>1.9219999999999999</v>
      </c>
      <c r="G187" s="349">
        <v>3.4000000000000002E-2</v>
      </c>
      <c r="H187" s="306">
        <f>E187+F187+G187</f>
        <v>3.71</v>
      </c>
      <c r="I187" s="307">
        <f t="shared" si="39"/>
        <v>0.92749999999999999</v>
      </c>
      <c r="J187" s="308">
        <f t="shared" si="36"/>
        <v>4.6375000000000002</v>
      </c>
      <c r="K187" s="309">
        <f>$K$4*J187/$J$4</f>
        <v>90.269443590531822</v>
      </c>
    </row>
    <row r="188" spans="1:11" x14ac:dyDescent="0.2">
      <c r="A188" s="301"/>
      <c r="B188" s="302" t="s">
        <v>15</v>
      </c>
      <c r="C188" s="302"/>
      <c r="D188" s="349"/>
      <c r="E188" s="304">
        <v>1.754</v>
      </c>
      <c r="F188" s="361">
        <v>1.9219999999999999</v>
      </c>
      <c r="G188" s="349">
        <v>3.4000000000000002E-2</v>
      </c>
      <c r="H188" s="306">
        <f>E188+F188+G188</f>
        <v>3.71</v>
      </c>
      <c r="I188" s="307">
        <f t="shared" si="39"/>
        <v>0.92749999999999999</v>
      </c>
      <c r="J188" s="308">
        <f t="shared" si="36"/>
        <v>4.6375000000000002</v>
      </c>
      <c r="K188" s="309">
        <f>$K$4*J188/$J$4</f>
        <v>90.269443590531822</v>
      </c>
    </row>
    <row r="189" spans="1:11" x14ac:dyDescent="0.2">
      <c r="A189" s="301"/>
      <c r="B189" s="302" t="s">
        <v>16</v>
      </c>
      <c r="C189" s="310"/>
      <c r="D189" s="358"/>
      <c r="E189" s="304">
        <v>1.754</v>
      </c>
      <c r="F189" s="361">
        <v>1.9219999999999999</v>
      </c>
      <c r="G189" s="349">
        <v>3.4000000000000002E-2</v>
      </c>
      <c r="H189" s="306">
        <f>E189+F189+G189</f>
        <v>3.71</v>
      </c>
      <c r="I189" s="307">
        <f t="shared" si="39"/>
        <v>0.92749999999999999</v>
      </c>
      <c r="J189" s="308">
        <f t="shared" si="36"/>
        <v>4.6375000000000002</v>
      </c>
      <c r="K189" s="309">
        <f>$K$4*J189/$J$4</f>
        <v>90.269443590531822</v>
      </c>
    </row>
    <row r="190" spans="1:11" x14ac:dyDescent="0.2">
      <c r="A190" s="312"/>
      <c r="B190" s="313" t="s">
        <v>17</v>
      </c>
      <c r="C190" s="355"/>
      <c r="D190" s="358"/>
      <c r="E190" s="373">
        <v>1.754</v>
      </c>
      <c r="F190" s="365">
        <v>1.9219999999999999</v>
      </c>
      <c r="G190" s="354">
        <v>3.4000000000000002E-2</v>
      </c>
      <c r="H190" s="317">
        <f>E190+F190+G190</f>
        <v>3.71</v>
      </c>
      <c r="I190" s="318">
        <f>(C190+D190+H190)*0.25</f>
        <v>0.92749999999999999</v>
      </c>
      <c r="J190" s="319">
        <f t="shared" si="36"/>
        <v>4.6375000000000002</v>
      </c>
      <c r="K190" s="320">
        <f>$K$4*J190/$J$4</f>
        <v>90.269443590531822</v>
      </c>
    </row>
    <row r="191" spans="1:11" x14ac:dyDescent="0.2">
      <c r="A191" s="343" t="s">
        <v>97</v>
      </c>
      <c r="B191" s="343" t="s">
        <v>98</v>
      </c>
      <c r="C191" s="343"/>
      <c r="D191" s="343"/>
      <c r="E191" s="343"/>
      <c r="F191" s="343"/>
      <c r="G191" s="343"/>
      <c r="H191" s="344"/>
      <c r="I191" s="342"/>
      <c r="J191" s="342"/>
      <c r="K191" s="342"/>
    </row>
    <row r="192" spans="1:11" x14ac:dyDescent="0.2">
      <c r="A192" s="387" t="s">
        <v>114</v>
      </c>
      <c r="B192" s="387" t="s">
        <v>115</v>
      </c>
      <c r="C192" s="271"/>
      <c r="D192" s="271"/>
      <c r="E192" s="271"/>
      <c r="F192" s="271"/>
      <c r="G192" s="271"/>
      <c r="H192" s="271"/>
    </row>
    <row r="193" spans="1:11" x14ac:dyDescent="0.2">
      <c r="A193" s="274" t="s">
        <v>87</v>
      </c>
      <c r="B193" s="274" t="s">
        <v>88</v>
      </c>
      <c r="C193" s="345"/>
      <c r="D193" s="345"/>
      <c r="E193" s="345"/>
      <c r="F193" s="345"/>
      <c r="G193" s="345"/>
      <c r="H193" s="345"/>
      <c r="K193" s="325"/>
    </row>
    <row r="194" spans="1:11" x14ac:dyDescent="0.2">
      <c r="A194" s="345" t="s">
        <v>89</v>
      </c>
      <c r="B194" s="345"/>
      <c r="C194" s="327"/>
      <c r="D194" s="327"/>
      <c r="E194" s="327"/>
      <c r="F194" s="327"/>
      <c r="G194" s="327"/>
      <c r="H194" s="328"/>
      <c r="I194" s="199"/>
      <c r="J194" s="199"/>
      <c r="K194" s="199"/>
    </row>
    <row r="195" spans="1:11" x14ac:dyDescent="0.2">
      <c r="A195" s="326" t="s">
        <v>93</v>
      </c>
      <c r="B195" s="326" t="s">
        <v>94</v>
      </c>
      <c r="C195" s="326"/>
      <c r="D195" s="326"/>
      <c r="E195" s="326"/>
      <c r="F195" s="326"/>
      <c r="G195" s="327"/>
      <c r="H195" s="328"/>
    </row>
    <row r="196" spans="1:11" x14ac:dyDescent="0.2">
      <c r="A196" s="327"/>
      <c r="B196" s="326" t="s">
        <v>105</v>
      </c>
      <c r="C196" s="326"/>
      <c r="D196" s="326"/>
      <c r="E196" s="326"/>
      <c r="F196" s="326"/>
      <c r="G196" s="327"/>
      <c r="H196" s="328"/>
      <c r="I196" s="199"/>
      <c r="J196" s="199"/>
    </row>
    <row r="197" spans="1:11" x14ac:dyDescent="0.2">
      <c r="A197" s="326" t="s">
        <v>102</v>
      </c>
      <c r="B197" s="326" t="s">
        <v>104</v>
      </c>
      <c r="C197" s="326"/>
      <c r="D197" s="326"/>
      <c r="E197" s="326"/>
      <c r="F197" s="326"/>
      <c r="G197" s="327"/>
      <c r="H197" s="328"/>
    </row>
    <row r="198" spans="1:11" x14ac:dyDescent="0.2">
      <c r="A198" s="326" t="s">
        <v>107</v>
      </c>
      <c r="B198" s="326" t="s">
        <v>108</v>
      </c>
      <c r="C198" s="326"/>
      <c r="D198" s="326"/>
      <c r="E198" s="326"/>
      <c r="F198" s="326"/>
      <c r="G198" s="327"/>
      <c r="H198" s="328"/>
      <c r="I198" s="199"/>
      <c r="J198" s="199"/>
    </row>
    <row r="199" spans="1:11" x14ac:dyDescent="0.2">
      <c r="A199" s="326"/>
      <c r="B199" s="326" t="s">
        <v>111</v>
      </c>
      <c r="C199" s="326"/>
      <c r="D199" s="326"/>
      <c r="E199" s="326"/>
      <c r="F199" s="326"/>
      <c r="G199" s="327"/>
      <c r="H199" s="328"/>
    </row>
    <row r="200" spans="1:11" x14ac:dyDescent="0.2">
      <c r="A200" s="326"/>
      <c r="B200" s="326" t="s">
        <v>110</v>
      </c>
    </row>
  </sheetData>
  <mergeCells count="81">
    <mergeCell ref="K177:K178"/>
    <mergeCell ref="A178:B178"/>
    <mergeCell ref="A177:B177"/>
    <mergeCell ref="C177:C178"/>
    <mergeCell ref="D177:D178"/>
    <mergeCell ref="E177:H177"/>
    <mergeCell ref="I177:I178"/>
    <mergeCell ref="J177:J178"/>
    <mergeCell ref="K128:K129"/>
    <mergeCell ref="A129:B129"/>
    <mergeCell ref="A128:B128"/>
    <mergeCell ref="C128:C129"/>
    <mergeCell ref="D128:D129"/>
    <mergeCell ref="E128:H128"/>
    <mergeCell ref="I128:I129"/>
    <mergeCell ref="J128:J129"/>
    <mergeCell ref="K107:K108"/>
    <mergeCell ref="A108:B108"/>
    <mergeCell ref="A107:B107"/>
    <mergeCell ref="C107:C108"/>
    <mergeCell ref="D107:D108"/>
    <mergeCell ref="E107:H107"/>
    <mergeCell ref="I107:I108"/>
    <mergeCell ref="J107:J108"/>
    <mergeCell ref="K65:K66"/>
    <mergeCell ref="A66:B66"/>
    <mergeCell ref="A65:B65"/>
    <mergeCell ref="C65:C66"/>
    <mergeCell ref="D65:D66"/>
    <mergeCell ref="E65:H65"/>
    <mergeCell ref="I65:I66"/>
    <mergeCell ref="J65:J66"/>
    <mergeCell ref="K45:K46"/>
    <mergeCell ref="A46:B46"/>
    <mergeCell ref="A1:K1"/>
    <mergeCell ref="A45:B45"/>
    <mergeCell ref="C45:C46"/>
    <mergeCell ref="D45:D46"/>
    <mergeCell ref="E45:H45"/>
    <mergeCell ref="I45:I46"/>
    <mergeCell ref="J45:J46"/>
    <mergeCell ref="K30:K31"/>
    <mergeCell ref="A31:B31"/>
    <mergeCell ref="A30:B30"/>
    <mergeCell ref="C30:C31"/>
    <mergeCell ref="D30:D31"/>
    <mergeCell ref="E30:H30"/>
    <mergeCell ref="I30:I31"/>
    <mergeCell ref="J30:J31"/>
    <mergeCell ref="A2:B2"/>
    <mergeCell ref="C2:C3"/>
    <mergeCell ref="D2:D3"/>
    <mergeCell ref="E2:H2"/>
    <mergeCell ref="K2:K3"/>
    <mergeCell ref="A3:B3"/>
    <mergeCell ref="I2:I3"/>
    <mergeCell ref="J2:J3"/>
    <mergeCell ref="K16:K17"/>
    <mergeCell ref="J16:J17"/>
    <mergeCell ref="A17:B17"/>
    <mergeCell ref="A16:B16"/>
    <mergeCell ref="C16:C17"/>
    <mergeCell ref="D16:D17"/>
    <mergeCell ref="E16:H16"/>
    <mergeCell ref="I16:I17"/>
    <mergeCell ref="K86:K87"/>
    <mergeCell ref="A87:B87"/>
    <mergeCell ref="A86:B86"/>
    <mergeCell ref="C86:C87"/>
    <mergeCell ref="D86:D87"/>
    <mergeCell ref="E86:H86"/>
    <mergeCell ref="I86:I87"/>
    <mergeCell ref="J86:J87"/>
    <mergeCell ref="K152:K153"/>
    <mergeCell ref="A153:B153"/>
    <mergeCell ref="A152:B152"/>
    <mergeCell ref="C152:C153"/>
    <mergeCell ref="D152:D153"/>
    <mergeCell ref="E152:H152"/>
    <mergeCell ref="I152:I153"/>
    <mergeCell ref="J152:J153"/>
  </mergeCells>
  <pageMargins left="0.19685039370078741" right="0.19685039370078741" top="0.19685039370078741" bottom="0.19685039370078741" header="0.31496062992125984" footer="0.31496062992125984"/>
  <pageSetup paperSize="9" scale="66" orientation="landscape" r:id="rId1"/>
  <rowBreaks count="1" manualBreakCount="1">
    <brk id="15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11</vt:i4>
      </vt:variant>
    </vt:vector>
  </HeadingPairs>
  <TitlesOfParts>
    <vt:vector size="17" baseType="lpstr">
      <vt:lpstr>Indeks</vt:lpstr>
      <vt:lpstr>Reelle vægte</vt:lpstr>
      <vt:lpstr>Udvikling i indeks</vt:lpstr>
      <vt:lpstr>Kilder og dokumentation</vt:lpstr>
      <vt:lpstr>Note pris 10</vt:lpstr>
      <vt:lpstr>Beregning af Gasindeks</vt:lpstr>
      <vt:lpstr>LønStigning2009</vt:lpstr>
      <vt:lpstr>LønStigning2010</vt:lpstr>
      <vt:lpstr>LønStigning2011</vt:lpstr>
      <vt:lpstr>PrisStigning2009</vt:lpstr>
      <vt:lpstr>Prisstigning2010</vt:lpstr>
      <vt:lpstr>PrisStigning2011</vt:lpstr>
      <vt:lpstr>'Beregning af Gasindeks'!Udskriftsområde</vt:lpstr>
      <vt:lpstr>Indeks!Udskriftsområde</vt:lpstr>
      <vt:lpstr>'Kilder og dokumentation'!Udskriftsområde</vt:lpstr>
      <vt:lpstr>'Note pris 10'!Udskriftsområde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2025-06-17T09:23:27Z</cp:lastPrinted>
  <dcterms:created xsi:type="dcterms:W3CDTF">2009-05-19T06:17:18Z</dcterms:created>
  <dcterms:modified xsi:type="dcterms:W3CDTF">2025-06-17T09:23:33Z</dcterms:modified>
</cp:coreProperties>
</file>