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ELindeks\Til hjemmeside\SBLON Vest\"/>
    </mc:Choice>
  </mc:AlternateContent>
  <xr:revisionPtr revIDLastSave="0" documentId="13_ncr:1_{BDB2EB53-9D05-4B9B-98F3-D6426AD8222C}"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Indeks!$A$1:$J$276</definedName>
    <definedName name="_xlnm.Print_Area" localSheetId="3">'Kilder og dokumentation'!$A$1:$E$52</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0" i="1" l="1"/>
  <c r="E250" i="1"/>
  <c r="C252" i="1"/>
  <c r="C251" i="1"/>
  <c r="C250" i="1"/>
  <c r="H250" i="1" s="1"/>
  <c r="F249" i="1"/>
  <c r="E249" i="1"/>
  <c r="H249" i="1"/>
  <c r="F248" i="1"/>
  <c r="H248" i="1" s="1"/>
  <c r="E248" i="1"/>
  <c r="C249" i="1"/>
  <c r="C248" i="1"/>
  <c r="C247" i="1"/>
  <c r="F247" i="1"/>
  <c r="E247" i="1"/>
  <c r="H247" i="1"/>
  <c r="C246" i="1"/>
  <c r="C245" i="1"/>
  <c r="C244" i="1"/>
  <c r="E246" i="1"/>
  <c r="E245" i="1"/>
  <c r="E244"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E243" i="1"/>
  <c r="E242" i="1"/>
  <c r="E241" i="1"/>
  <c r="C243" i="1"/>
  <c r="C242" i="1"/>
  <c r="C241" i="1"/>
  <c r="E240" i="1"/>
  <c r="E239" i="1"/>
  <c r="C239" i="1"/>
  <c r="C240" i="1"/>
  <c r="C238" i="1"/>
  <c r="E238" i="1"/>
  <c r="E237" i="1"/>
  <c r="C237" i="1"/>
  <c r="E236" i="1"/>
  <c r="E235" i="1"/>
  <c r="C236" i="1"/>
  <c r="C235" i="1"/>
  <c r="E234" i="1"/>
  <c r="E233" i="1"/>
  <c r="E232" i="1"/>
  <c r="C234" i="1"/>
  <c r="C233" i="1"/>
  <c r="C232"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1" i="1"/>
  <c r="C231" i="1"/>
  <c r="E230" i="1"/>
  <c r="E229" i="1"/>
  <c r="C230" i="1"/>
  <c r="C229" i="1"/>
  <c r="E228" i="1"/>
  <c r="C228" i="1"/>
  <c r="E227" i="1"/>
  <c r="E226" i="1"/>
  <c r="C227" i="1"/>
  <c r="C226" i="1"/>
  <c r="E225" i="1"/>
  <c r="C225" i="1"/>
  <c r="E224" i="1" l="1"/>
  <c r="E223" i="1"/>
  <c r="C224" i="1"/>
  <c r="C223" i="1"/>
  <c r="E222" i="1"/>
  <c r="E221" i="1"/>
  <c r="E220" i="1"/>
  <c r="C222" i="1"/>
  <c r="C221" i="1"/>
  <c r="C220"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A233" i="1"/>
  <c r="A234" i="1" s="1"/>
  <c r="A235" i="1" s="1"/>
  <c r="A236" i="1" s="1"/>
  <c r="A237" i="1" s="1"/>
  <c r="A238" i="1" s="1"/>
  <c r="A239" i="1" s="1"/>
  <c r="A240" i="1" s="1"/>
  <c r="A241" i="1" s="1"/>
  <c r="A242" i="1" s="1"/>
  <c r="A243" i="1" s="1"/>
  <c r="E219" i="1"/>
  <c r="C219" i="1"/>
  <c r="C218" i="1"/>
  <c r="E218" i="1"/>
  <c r="C217" i="1"/>
  <c r="E217" i="1"/>
  <c r="E216" i="1"/>
  <c r="C216" i="1"/>
  <c r="E215" i="1"/>
  <c r="E214" i="1"/>
  <c r="C215" i="1"/>
  <c r="C214" i="1"/>
  <c r="E213" i="1"/>
  <c r="E212" i="1"/>
  <c r="C213" i="1"/>
  <c r="C212" i="1"/>
  <c r="E211" i="1"/>
  <c r="C211" i="1"/>
  <c r="E210" i="1"/>
  <c r="E209" i="1"/>
  <c r="C209"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08" i="1"/>
  <c r="C210" i="1"/>
  <c r="C208" i="1"/>
  <c r="A221" i="1"/>
  <c r="A222" i="1" s="1"/>
  <c r="A223" i="1" s="1"/>
  <c r="A224" i="1" s="1"/>
  <c r="A225" i="1" s="1"/>
  <c r="A226" i="1" s="1"/>
  <c r="A227" i="1" s="1"/>
  <c r="A228" i="1" s="1"/>
  <c r="A229" i="1" s="1"/>
  <c r="A230" i="1" s="1"/>
  <c r="A231" i="1" s="1"/>
  <c r="E207" i="1"/>
  <c r="E206" i="1"/>
  <c r="E205" i="1"/>
  <c r="C207" i="1"/>
  <c r="C206" i="1"/>
  <c r="C205" i="1"/>
  <c r="E204" i="1"/>
  <c r="E203" i="1" l="1"/>
  <c r="C204" i="1" l="1"/>
  <c r="C203" i="1"/>
  <c r="E202" i="1" l="1"/>
  <c r="C202" i="1"/>
  <c r="E201" i="1" l="1"/>
  <c r="E200" i="1" l="1"/>
  <c r="E199" i="1" l="1"/>
  <c r="C201" i="1"/>
  <c r="C200" i="1"/>
  <c r="C199" i="1"/>
  <c r="C196" i="1"/>
  <c r="C197" i="1"/>
  <c r="C198" i="1"/>
  <c r="E198" i="1" l="1"/>
  <c r="E197" i="1" l="1"/>
  <c r="E196" i="1" l="1"/>
  <c r="C195" i="1"/>
  <c r="A208" i="5" l="1"/>
  <c r="A209" i="5" s="1"/>
  <c r="A210" i="5" s="1"/>
  <c r="A211" i="5" s="1"/>
  <c r="A212" i="5" s="1"/>
  <c r="A213" i="5" s="1"/>
  <c r="A214" i="5" s="1"/>
  <c r="A215" i="5" s="1"/>
  <c r="A216" i="5" s="1"/>
  <c r="A217" i="5" s="1"/>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l="1"/>
  <c r="E194" i="1" l="1"/>
  <c r="E193" i="1" l="1"/>
  <c r="C194" i="1"/>
  <c r="C193" i="1"/>
  <c r="E192" i="1" l="1"/>
  <c r="E191" i="1" l="1"/>
  <c r="E190" i="1" l="1"/>
  <c r="C192" i="1"/>
  <c r="C191" i="1"/>
  <c r="C190" i="1"/>
  <c r="E189" i="1" l="1"/>
  <c r="E188" i="1" l="1"/>
  <c r="E187" i="1" l="1"/>
  <c r="C189" i="1"/>
  <c r="C188" i="1"/>
  <c r="C187" i="1"/>
  <c r="E186" i="1" l="1"/>
  <c r="E185" i="1" l="1"/>
  <c r="E184" i="1" l="1"/>
  <c r="C186" i="1"/>
  <c r="C185" i="1"/>
  <c r="C184" i="1"/>
  <c r="E183" i="1" l="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s="1"/>
  <c r="A199" i="1" s="1"/>
  <c r="A200" i="1" s="1"/>
  <c r="A201" i="1" s="1"/>
  <c r="A202" i="1" s="1"/>
  <c r="A203" i="1" s="1"/>
  <c r="A204" i="1" s="1"/>
  <c r="A205" i="1" s="1"/>
  <c r="A206" i="1" s="1"/>
  <c r="A207" i="1" s="1"/>
  <c r="E182" i="1" l="1"/>
  <c r="E181" i="1" l="1"/>
  <c r="C183" i="1"/>
  <c r="C182" i="1"/>
  <c r="C181" i="1"/>
  <c r="E180" i="1" l="1"/>
  <c r="E179" i="1" l="1"/>
  <c r="E178" i="1" l="1"/>
  <c r="C180" i="1"/>
  <c r="C179" i="1"/>
  <c r="C178" i="1"/>
  <c r="E177" i="1" l="1"/>
  <c r="E176" i="1" l="1"/>
  <c r="C177" i="1" l="1"/>
  <c r="C176" i="1"/>
  <c r="E175" i="1"/>
  <c r="C175" i="1"/>
  <c r="E174" i="1" l="1"/>
  <c r="F173" i="1" l="1"/>
  <c r="E173" i="1"/>
  <c r="F246" i="1" l="1"/>
  <c r="F245" i="1"/>
  <c r="H245" i="1" s="1"/>
  <c r="F244" i="1"/>
  <c r="H244" i="1" s="1"/>
  <c r="H246" i="1"/>
  <c r="F243" i="1"/>
  <c r="H243" i="1" s="1"/>
  <c r="F239" i="1"/>
  <c r="H239" i="1" s="1"/>
  <c r="F234" i="1"/>
  <c r="H234" i="1" s="1"/>
  <c r="F242" i="1"/>
  <c r="H242" i="1" s="1"/>
  <c r="F238" i="1"/>
  <c r="H238" i="1" s="1"/>
  <c r="F233" i="1"/>
  <c r="H233" i="1" s="1"/>
  <c r="F241" i="1"/>
  <c r="H241" i="1" s="1"/>
  <c r="F237" i="1"/>
  <c r="H237" i="1" s="1"/>
  <c r="F232" i="1"/>
  <c r="H232" i="1" s="1"/>
  <c r="F236" i="1"/>
  <c r="H236" i="1" s="1"/>
  <c r="F240" i="1"/>
  <c r="H240" i="1" s="1"/>
  <c r="F235" i="1"/>
  <c r="H235" i="1" s="1"/>
  <c r="F228" i="1"/>
  <c r="H228" i="1" s="1"/>
  <c r="F231" i="1"/>
  <c r="H231" i="1" s="1"/>
  <c r="F230" i="1"/>
  <c r="H230" i="1" s="1"/>
  <c r="F227" i="1"/>
  <c r="H227" i="1" s="1"/>
  <c r="F225" i="1"/>
  <c r="H225" i="1" s="1"/>
  <c r="F229" i="1"/>
  <c r="H229" i="1" s="1"/>
  <c r="F226" i="1"/>
  <c r="H226" i="1" s="1"/>
  <c r="F220" i="1"/>
  <c r="H220" i="1" s="1"/>
  <c r="F222" i="1"/>
  <c r="H222" i="1" s="1"/>
  <c r="F221" i="1"/>
  <c r="H221" i="1" s="1"/>
  <c r="F223" i="1"/>
  <c r="H223" i="1" s="1"/>
  <c r="F224" i="1"/>
  <c r="H224" i="1" s="1"/>
  <c r="F219" i="1"/>
  <c r="H219" i="1" s="1"/>
  <c r="F214" i="1"/>
  <c r="H214" i="1" s="1"/>
  <c r="F216" i="1"/>
  <c r="H216" i="1" s="1"/>
  <c r="F211" i="1"/>
  <c r="H211" i="1" s="1"/>
  <c r="F209" i="1"/>
  <c r="H209" i="1" s="1"/>
  <c r="G209" i="2" s="1"/>
  <c r="F215" i="1"/>
  <c r="H215" i="1" s="1"/>
  <c r="F210" i="1"/>
  <c r="H210" i="1" s="1"/>
  <c r="F218" i="1"/>
  <c r="H218" i="1" s="1"/>
  <c r="F213" i="1"/>
  <c r="F217" i="1"/>
  <c r="H217" i="1" s="1"/>
  <c r="F212" i="1"/>
  <c r="H212" i="1" s="1"/>
  <c r="F205" i="1"/>
  <c r="F208" i="1"/>
  <c r="H208" i="1" s="1"/>
  <c r="F207" i="1"/>
  <c r="F204" i="1"/>
  <c r="F206"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H175" i="1" s="1"/>
  <c r="F174" i="1"/>
  <c r="F172" i="1"/>
  <c r="E172" i="1"/>
  <c r="C174" i="1"/>
  <c r="C173" i="1"/>
  <c r="C172" i="1"/>
  <c r="H172" i="1" l="1"/>
  <c r="A184" i="5"/>
  <c r="A185" i="5" s="1"/>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5" i="1" l="1"/>
  <c r="A186" i="1" s="1"/>
  <c r="A187" i="1" s="1"/>
  <c r="A188" i="1" s="1"/>
  <c r="A189" i="1" s="1"/>
  <c r="A190" i="1" s="1"/>
  <c r="A191" i="1" s="1"/>
  <c r="A192" i="1" s="1"/>
  <c r="A193" i="1" s="1"/>
  <c r="A194" i="1" s="1"/>
  <c r="A195" i="1" s="1"/>
  <c r="F171" i="1" l="1"/>
  <c r="E171" i="1"/>
  <c r="F170" i="1" l="1"/>
  <c r="E170" i="1"/>
  <c r="F169" i="1" l="1"/>
  <c r="E169" i="1"/>
  <c r="C171" i="1"/>
  <c r="C170" i="1"/>
  <c r="C169" i="1"/>
  <c r="F168" i="1" l="1"/>
  <c r="E168" i="1"/>
  <c r="F167" i="1" l="1"/>
  <c r="E167" i="1"/>
  <c r="F166" i="1" l="1"/>
  <c r="E166" i="1"/>
  <c r="C168" i="1"/>
  <c r="C167" i="1"/>
  <c r="C166" i="1"/>
  <c r="F165" i="1" l="1"/>
  <c r="E165" i="1"/>
  <c r="F164" i="1" l="1"/>
  <c r="E164" i="1"/>
  <c r="F163" i="1" l="1"/>
  <c r="E163" i="1"/>
  <c r="C165" i="1"/>
  <c r="C164" i="1"/>
  <c r="C163" i="1"/>
  <c r="F162" i="1" l="1"/>
  <c r="E162" i="1"/>
  <c r="E161" i="1"/>
  <c r="F161" i="1"/>
  <c r="F160" i="1" l="1"/>
  <c r="E160" i="1"/>
  <c r="C162" i="1"/>
  <c r="C161" i="1"/>
  <c r="H161" i="1" s="1"/>
  <c r="C161" i="2" s="1"/>
  <c r="C160" i="1"/>
  <c r="H75" i="1"/>
  <c r="C75" i="2" s="1"/>
  <c r="H74" i="1"/>
  <c r="E74" i="2" s="1"/>
  <c r="H73" i="1"/>
  <c r="C73" i="2" s="1"/>
  <c r="H72" i="1"/>
  <c r="F72" i="2" s="1"/>
  <c r="H71" i="1"/>
  <c r="C70" i="5" s="1"/>
  <c r="H70" i="1"/>
  <c r="H69" i="1"/>
  <c r="C68" i="5" s="1"/>
  <c r="H68" i="1"/>
  <c r="C68" i="2" s="1"/>
  <c r="H67" i="1"/>
  <c r="H66" i="1"/>
  <c r="E66" i="2" s="1"/>
  <c r="H65" i="1"/>
  <c r="C64" i="5" s="1"/>
  <c r="H64" i="1"/>
  <c r="E64" i="2" s="1"/>
  <c r="C148" i="1"/>
  <c r="C149" i="1" s="1"/>
  <c r="C151" i="1"/>
  <c r="C153" i="1" s="1"/>
  <c r="C154" i="1"/>
  <c r="C155" i="1" s="1"/>
  <c r="C136" i="1"/>
  <c r="C137" i="1" s="1"/>
  <c r="C139" i="1"/>
  <c r="C140" i="1" s="1"/>
  <c r="C142" i="1"/>
  <c r="C144" i="1" s="1"/>
  <c r="C145" i="1"/>
  <c r="C146" i="1" s="1"/>
  <c r="C157" i="1"/>
  <c r="C158" i="1"/>
  <c r="C159" i="1"/>
  <c r="E104" i="1"/>
  <c r="E129" i="1" s="1"/>
  <c r="E130" i="1" s="1"/>
  <c r="E159" i="1"/>
  <c r="E148" i="1"/>
  <c r="E149" i="1"/>
  <c r="E150" i="1"/>
  <c r="E151" i="1"/>
  <c r="E152" i="1"/>
  <c r="E153" i="1"/>
  <c r="E154" i="1"/>
  <c r="E155" i="1"/>
  <c r="E156" i="1"/>
  <c r="E157" i="1"/>
  <c r="E158" i="1"/>
  <c r="E138" i="1"/>
  <c r="E139" i="1"/>
  <c r="E140" i="1"/>
  <c r="E141" i="1"/>
  <c r="E142" i="1"/>
  <c r="E143" i="1"/>
  <c r="E144" i="1"/>
  <c r="E145" i="1"/>
  <c r="E146" i="1"/>
  <c r="E147" i="1"/>
  <c r="F159" i="1"/>
  <c r="F148" i="1"/>
  <c r="F149" i="1"/>
  <c r="F150" i="1"/>
  <c r="F151" i="1"/>
  <c r="F152" i="1"/>
  <c r="F153" i="1"/>
  <c r="F154" i="1"/>
  <c r="F155" i="1"/>
  <c r="F156" i="1"/>
  <c r="F157" i="1"/>
  <c r="F158" i="1"/>
  <c r="F136" i="1"/>
  <c r="F137" i="1"/>
  <c r="F138" i="1"/>
  <c r="F139" i="1"/>
  <c r="F140" i="1"/>
  <c r="F141" i="1"/>
  <c r="F142" i="1"/>
  <c r="F143" i="1"/>
  <c r="F144" i="1"/>
  <c r="F145" i="1"/>
  <c r="F146" i="1"/>
  <c r="F147" i="1"/>
  <c r="G173" i="1"/>
  <c r="G176" i="1" s="1"/>
  <c r="A172" i="5"/>
  <c r="A173" i="5" s="1"/>
  <c r="A174" i="5" s="1"/>
  <c r="A175" i="5" s="1"/>
  <c r="A176" i="5" s="1"/>
  <c r="A177" i="5" s="1"/>
  <c r="A178" i="5" s="1"/>
  <c r="A179" i="5" s="1"/>
  <c r="A180" i="5" s="1"/>
  <c r="A173" i="2"/>
  <c r="A174" i="2" s="1"/>
  <c r="A175" i="2" s="1"/>
  <c r="A176" i="2" s="1"/>
  <c r="A177" i="2" s="1"/>
  <c r="A178" i="2" s="1"/>
  <c r="A179" i="2" s="1"/>
  <c r="A180" i="2" s="1"/>
  <c r="A181" i="2" s="1"/>
  <c r="A182" i="2" s="1"/>
  <c r="A183" i="2" s="1"/>
  <c r="A173" i="1"/>
  <c r="A174" i="1" s="1"/>
  <c r="A175" i="1" s="1"/>
  <c r="A176" i="1" s="1"/>
  <c r="A177" i="1" s="1"/>
  <c r="A178" i="1" s="1"/>
  <c r="A179" i="1" s="1"/>
  <c r="A180" i="1" s="1"/>
  <c r="A181" i="1" s="1"/>
  <c r="A182" i="1" s="1"/>
  <c r="A183" i="1" s="1"/>
  <c r="A149" i="1"/>
  <c r="A150" i="1" s="1"/>
  <c r="A151" i="1" s="1"/>
  <c r="A152" i="1" s="1"/>
  <c r="A153" i="1" s="1"/>
  <c r="A154" i="1" s="1"/>
  <c r="A155" i="1" s="1"/>
  <c r="A156" i="1" s="1"/>
  <c r="A157" i="1" s="1"/>
  <c r="A158" i="1" s="1"/>
  <c r="A159" i="1" s="1"/>
  <c r="A137" i="1"/>
  <c r="A138" i="1" s="1"/>
  <c r="A139" i="1" s="1"/>
  <c r="A140" i="1" s="1"/>
  <c r="A141" i="1" s="1"/>
  <c r="A142" i="1" s="1"/>
  <c r="A143" i="1" s="1"/>
  <c r="A144" i="1" s="1"/>
  <c r="A145" i="1" s="1"/>
  <c r="A146" i="1" s="1"/>
  <c r="A147" i="1" s="1"/>
  <c r="C133" i="1"/>
  <c r="C135" i="1" s="1"/>
  <c r="C130" i="1"/>
  <c r="C127" i="1"/>
  <c r="C129" i="1" s="1"/>
  <c r="F135" i="1"/>
  <c r="F134" i="1"/>
  <c r="F133" i="1"/>
  <c r="F132" i="1"/>
  <c r="F131" i="1"/>
  <c r="F130" i="1"/>
  <c r="F129" i="1"/>
  <c r="F128" i="1"/>
  <c r="F127" i="1"/>
  <c r="F126" i="1"/>
  <c r="F125" i="1"/>
  <c r="F124" i="1"/>
  <c r="H124" i="1" s="1"/>
  <c r="F122" i="1"/>
  <c r="F123" i="1"/>
  <c r="G154" i="1"/>
  <c r="C125" i="1"/>
  <c r="C126" i="1"/>
  <c r="A161" i="1"/>
  <c r="A162" i="1" s="1"/>
  <c r="A163" i="1" s="1"/>
  <c r="A164" i="1" s="1"/>
  <c r="A165" i="1" s="1"/>
  <c r="A166" i="1" s="1"/>
  <c r="A167" i="1" s="1"/>
  <c r="A168" i="1" s="1"/>
  <c r="A169" i="1" s="1"/>
  <c r="A170" i="1" s="1"/>
  <c r="A171" i="1" s="1"/>
  <c r="A149" i="2"/>
  <c r="A150" i="2" s="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C7" i="6"/>
  <c r="H7" i="6"/>
  <c r="E5" i="4"/>
  <c r="E6" i="4"/>
  <c r="E8" i="4"/>
  <c r="E10" i="4"/>
  <c r="E11" i="4"/>
  <c r="A4" i="5"/>
  <c r="A5" i="5" s="1"/>
  <c r="A6" i="5" s="1"/>
  <c r="A7" i="5" s="1"/>
  <c r="A8" i="5" s="1"/>
  <c r="A9" i="5" s="1"/>
  <c r="A10" i="5" s="1"/>
  <c r="A11" i="5" s="1"/>
  <c r="A12" i="5" s="1"/>
  <c r="A13" i="5" s="1"/>
  <c r="A14" i="5" s="1"/>
  <c r="H10" i="1"/>
  <c r="E10" i="2" s="1"/>
  <c r="D9" i="5"/>
  <c r="H11" i="1"/>
  <c r="G11" i="2" s="1"/>
  <c r="H12" i="1"/>
  <c r="C11" i="5" s="1"/>
  <c r="H13" i="1"/>
  <c r="C13" i="2" s="1"/>
  <c r="H14" i="1"/>
  <c r="F14" i="2" s="1"/>
  <c r="H15" i="1"/>
  <c r="F15" i="2" s="1"/>
  <c r="F14" i="5"/>
  <c r="G14" i="5"/>
  <c r="H16" i="1"/>
  <c r="F16" i="2" s="1"/>
  <c r="A16" i="5"/>
  <c r="A17" i="5" s="1"/>
  <c r="A18" i="5" s="1"/>
  <c r="A19" i="5" s="1"/>
  <c r="A20" i="5" s="1"/>
  <c r="A21" i="5" s="1"/>
  <c r="A22" i="5" s="1"/>
  <c r="A23" i="5" s="1"/>
  <c r="A24" i="5" s="1"/>
  <c r="A25" i="5" s="1"/>
  <c r="A26" i="5" s="1"/>
  <c r="H17" i="1"/>
  <c r="E17" i="2" s="1"/>
  <c r="H18" i="1"/>
  <c r="G18" i="2" s="1"/>
  <c r="H19" i="1"/>
  <c r="C18" i="5" s="1"/>
  <c r="H20" i="1"/>
  <c r="G20" i="2" s="1"/>
  <c r="H21" i="1"/>
  <c r="E21" i="2" s="1"/>
  <c r="H22" i="1"/>
  <c r="G22" i="2" s="1"/>
  <c r="H23" i="1"/>
  <c r="C22" i="5" s="1"/>
  <c r="H24" i="1"/>
  <c r="C24" i="2" s="1"/>
  <c r="H25" i="1"/>
  <c r="E25" i="2" s="1"/>
  <c r="H26" i="1"/>
  <c r="E26" i="2" s="1"/>
  <c r="H27" i="1"/>
  <c r="C26" i="5" s="1"/>
  <c r="G26" i="5"/>
  <c r="H28" i="1"/>
  <c r="C27" i="5" s="1"/>
  <c r="A28" i="5"/>
  <c r="A29" i="5" s="1"/>
  <c r="A30" i="5" s="1"/>
  <c r="A31" i="5" s="1"/>
  <c r="A32" i="5" s="1"/>
  <c r="A33" i="5" s="1"/>
  <c r="A34" i="5" s="1"/>
  <c r="A35" i="5" s="1"/>
  <c r="A36" i="5" s="1"/>
  <c r="A37" i="5" s="1"/>
  <c r="A38" i="5" s="1"/>
  <c r="H29" i="1"/>
  <c r="G29" i="2" s="1"/>
  <c r="H30" i="1"/>
  <c r="D30" i="2" s="1"/>
  <c r="H31" i="1"/>
  <c r="D31" i="2" s="1"/>
  <c r="H32" i="1"/>
  <c r="F32" i="2" s="1"/>
  <c r="H33" i="1"/>
  <c r="H34" i="1"/>
  <c r="D34" i="2" s="1"/>
  <c r="H35" i="1"/>
  <c r="F35" i="2" s="1"/>
  <c r="H36" i="1"/>
  <c r="F36" i="2" s="1"/>
  <c r="H37" i="1"/>
  <c r="C37" i="2" s="1"/>
  <c r="H38" i="1"/>
  <c r="D38" i="2" s="1"/>
  <c r="H39" i="1"/>
  <c r="E39" i="2" s="1"/>
  <c r="H40" i="1"/>
  <c r="F40" i="2" s="1"/>
  <c r="A40" i="5"/>
  <c r="A41" i="5" s="1"/>
  <c r="H41" i="1"/>
  <c r="G41" i="2" s="1"/>
  <c r="H42" i="1"/>
  <c r="D42" i="2" s="1"/>
  <c r="A42" i="5"/>
  <c r="A43" i="5" s="1"/>
  <c r="A44" i="5" s="1"/>
  <c r="A45" i="5" s="1"/>
  <c r="A46" i="5" s="1"/>
  <c r="A47" i="5" s="1"/>
  <c r="A48" i="5" s="1"/>
  <c r="A49" i="5" s="1"/>
  <c r="A50" i="5" s="1"/>
  <c r="H43" i="1"/>
  <c r="H44" i="1"/>
  <c r="D44" i="2" s="1"/>
  <c r="H45" i="1"/>
  <c r="G45" i="2" s="1"/>
  <c r="H46" i="1"/>
  <c r="C45" i="5" s="1"/>
  <c r="H47" i="1"/>
  <c r="C47" i="2" s="1"/>
  <c r="H48" i="1"/>
  <c r="E48" i="2" s="1"/>
  <c r="H49" i="1"/>
  <c r="H50" i="1"/>
  <c r="F50" i="2" s="1"/>
  <c r="H51" i="1"/>
  <c r="C50" i="5" s="1"/>
  <c r="H52" i="1"/>
  <c r="D52" i="2" s="1"/>
  <c r="A52" i="5"/>
  <c r="A53" i="5" s="1"/>
  <c r="A54" i="5" s="1"/>
  <c r="A55" i="5" s="1"/>
  <c r="A56" i="5" s="1"/>
  <c r="A57" i="5" s="1"/>
  <c r="A58" i="5" s="1"/>
  <c r="A59" i="5" s="1"/>
  <c r="A60" i="5" s="1"/>
  <c r="A61" i="5" s="1"/>
  <c r="A62" i="5" s="1"/>
  <c r="H53" i="1"/>
  <c r="C53" i="2" s="1"/>
  <c r="H54" i="1"/>
  <c r="F54" i="2" s="1"/>
  <c r="H55" i="1"/>
  <c r="D55" i="2" s="1"/>
  <c r="H56" i="1"/>
  <c r="D56" i="2" s="1"/>
  <c r="H57" i="1"/>
  <c r="E57" i="2" s="1"/>
  <c r="H58" i="1"/>
  <c r="H59" i="1"/>
  <c r="D59" i="2" s="1"/>
  <c r="H60" i="1"/>
  <c r="D60" i="2" s="1"/>
  <c r="H61" i="1"/>
  <c r="C61" i="2" s="1"/>
  <c r="H62" i="1"/>
  <c r="D62" i="2" s="1"/>
  <c r="H63" i="1"/>
  <c r="D63" i="2" s="1"/>
  <c r="C112" i="1"/>
  <c r="H112" i="1" s="1"/>
  <c r="C111" i="5" s="1"/>
  <c r="A64" i="5"/>
  <c r="A65" i="5" s="1"/>
  <c r="A66" i="5" s="1"/>
  <c r="A67" i="5" s="1"/>
  <c r="A68" i="5" s="1"/>
  <c r="A69" i="5" s="1"/>
  <c r="A70" i="5" s="1"/>
  <c r="A71" i="5" s="1"/>
  <c r="A72" i="5" s="1"/>
  <c r="A73" i="5" s="1"/>
  <c r="A74" i="5" s="1"/>
  <c r="C115" i="1"/>
  <c r="C116" i="1" s="1"/>
  <c r="H116" i="1" s="1"/>
  <c r="C115" i="5" s="1"/>
  <c r="C118" i="1"/>
  <c r="C119" i="1" s="1"/>
  <c r="H119" i="1" s="1"/>
  <c r="C121" i="1"/>
  <c r="C122" i="1" s="1"/>
  <c r="H76" i="1"/>
  <c r="F76" i="2" s="1"/>
  <c r="A76" i="5"/>
  <c r="A77" i="5" s="1"/>
  <c r="A78" i="5" s="1"/>
  <c r="A79" i="5" s="1"/>
  <c r="A80" i="5" s="1"/>
  <c r="A81" i="5" s="1"/>
  <c r="A82" i="5" s="1"/>
  <c r="A83" i="5" s="1"/>
  <c r="A84" i="5" s="1"/>
  <c r="A85" i="5" s="1"/>
  <c r="A86" i="5" s="1"/>
  <c r="H77" i="1"/>
  <c r="C77" i="2" s="1"/>
  <c r="H78" i="1"/>
  <c r="F78" i="2" s="1"/>
  <c r="H79" i="1"/>
  <c r="D79" i="2" s="1"/>
  <c r="C80" i="1"/>
  <c r="C81" i="1"/>
  <c r="H81" i="1" s="1"/>
  <c r="E81" i="2" s="1"/>
  <c r="H82" i="1"/>
  <c r="C81" i="5" s="1"/>
  <c r="C83" i="1"/>
  <c r="H83" i="1" s="1"/>
  <c r="D83" i="2" s="1"/>
  <c r="C84" i="1"/>
  <c r="H84" i="1" s="1"/>
  <c r="E84" i="2" s="1"/>
  <c r="H85" i="1"/>
  <c r="D85" i="2" s="1"/>
  <c r="C86" i="1"/>
  <c r="H86" i="1" s="1"/>
  <c r="C87" i="1"/>
  <c r="H87" i="1" s="1"/>
  <c r="C86" i="5" s="1"/>
  <c r="H88" i="1"/>
  <c r="C87" i="5" s="1"/>
  <c r="A88" i="5"/>
  <c r="A89" i="5" s="1"/>
  <c r="A90" i="5" s="1"/>
  <c r="A91" i="5" s="1"/>
  <c r="A92" i="5" s="1"/>
  <c r="A93" i="5" s="1"/>
  <c r="A94" i="5" s="1"/>
  <c r="A95" i="5" s="1"/>
  <c r="A96" i="5" s="1"/>
  <c r="A97" i="5" s="1"/>
  <c r="A98" i="5" s="1"/>
  <c r="C89" i="1"/>
  <c r="H89" i="1" s="1"/>
  <c r="C88" i="5" s="1"/>
  <c r="C90" i="1"/>
  <c r="H90" i="1" s="1"/>
  <c r="C89" i="5" s="1"/>
  <c r="H91" i="1"/>
  <c r="E91" i="2" s="1"/>
  <c r="C92" i="1"/>
  <c r="H92" i="1" s="1"/>
  <c r="C93" i="1"/>
  <c r="H93" i="1" s="1"/>
  <c r="H94" i="1"/>
  <c r="C93" i="5" s="1"/>
  <c r="C95" i="1"/>
  <c r="H95" i="1" s="1"/>
  <c r="C94" i="5" s="1"/>
  <c r="C96" i="1"/>
  <c r="H96" i="1" s="1"/>
  <c r="C95" i="5" s="1"/>
  <c r="H97" i="1"/>
  <c r="C96" i="5" s="1"/>
  <c r="C98" i="1"/>
  <c r="C99" i="1"/>
  <c r="H99" i="1" s="1"/>
  <c r="C98" i="5" s="1"/>
  <c r="C100" i="1"/>
  <c r="H100" i="1" s="1"/>
  <c r="C99" i="5" s="1"/>
  <c r="A100" i="5"/>
  <c r="A101" i="5" s="1"/>
  <c r="A102" i="5" s="1"/>
  <c r="A103" i="5" s="1"/>
  <c r="A104" i="5" s="1"/>
  <c r="A105" i="5" s="1"/>
  <c r="A106" i="5" s="1"/>
  <c r="A107" i="5" s="1"/>
  <c r="A108" i="5" s="1"/>
  <c r="A109" i="5" s="1"/>
  <c r="A110" i="5" s="1"/>
  <c r="C101" i="1"/>
  <c r="H101" i="1" s="1"/>
  <c r="C102" i="1"/>
  <c r="H102" i="1" s="1"/>
  <c r="C101" i="5" s="1"/>
  <c r="C103" i="1"/>
  <c r="F103" i="1"/>
  <c r="C104" i="1"/>
  <c r="C105" i="1"/>
  <c r="H105" i="1" s="1"/>
  <c r="C104" i="5" s="1"/>
  <c r="C106" i="1"/>
  <c r="H106" i="1" s="1"/>
  <c r="C107" i="1"/>
  <c r="H107" i="1" s="1"/>
  <c r="C108" i="1"/>
  <c r="H108" i="1" s="1"/>
  <c r="D108" i="2" s="1"/>
  <c r="C109" i="1"/>
  <c r="C110" i="1"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s="1"/>
  <c r="A138" i="5" s="1"/>
  <c r="A139" i="5" s="1"/>
  <c r="A140" i="5" s="1"/>
  <c r="A141" i="5" s="1"/>
  <c r="A142" i="5" s="1"/>
  <c r="A143" i="5" s="1"/>
  <c r="A144" i="5" s="1"/>
  <c r="A145" i="5" s="1"/>
  <c r="A146" i="5" s="1"/>
  <c r="G138" i="1"/>
  <c r="A148" i="5"/>
  <c r="A149" i="5" s="1"/>
  <c r="A150" i="5" s="1"/>
  <c r="A151" i="5" s="1"/>
  <c r="A152" i="5" s="1"/>
  <c r="A153" i="5" s="1"/>
  <c r="A154" i="5" s="1"/>
  <c r="A155" i="5" s="1"/>
  <c r="A156" i="5" s="1"/>
  <c r="A157" i="5" s="1"/>
  <c r="A158" i="5" s="1"/>
  <c r="D10" i="2"/>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51" i="2"/>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A17" i="1"/>
  <c r="A18" i="1" s="1"/>
  <c r="A19" i="1" s="1"/>
  <c r="A20" i="1" s="1"/>
  <c r="A21" i="1" s="1"/>
  <c r="A22" i="1" s="1"/>
  <c r="A23" i="1" s="1"/>
  <c r="A24" i="1" s="1"/>
  <c r="A25" i="1" s="1"/>
  <c r="A26" i="1" s="1"/>
  <c r="A27" i="1" s="1"/>
  <c r="A29" i="1"/>
  <c r="A30" i="1" s="1"/>
  <c r="A31" i="1" s="1"/>
  <c r="A32" i="1" s="1"/>
  <c r="A33" i="1" s="1"/>
  <c r="A34" i="1" s="1"/>
  <c r="A35" i="1" s="1"/>
  <c r="A36" i="1" s="1"/>
  <c r="A37" i="1" s="1"/>
  <c r="A38" i="1" s="1"/>
  <c r="A39" i="1" s="1"/>
  <c r="A41" i="1"/>
  <c r="A42" i="1" s="1"/>
  <c r="A43" i="1" s="1"/>
  <c r="A44" i="1" s="1"/>
  <c r="A45" i="1" s="1"/>
  <c r="A46" i="1" s="1"/>
  <c r="A47" i="1" s="1"/>
  <c r="A48" i="1" s="1"/>
  <c r="A49" i="1" s="1"/>
  <c r="A50" i="1" s="1"/>
  <c r="A51" i="1" s="1"/>
  <c r="A53" i="1"/>
  <c r="A54" i="1" s="1"/>
  <c r="A55" i="1" s="1"/>
  <c r="A56" i="1" s="1"/>
  <c r="A57" i="1" s="1"/>
  <c r="A58" i="1" s="1"/>
  <c r="A59" i="1" s="1"/>
  <c r="A60" i="1" s="1"/>
  <c r="A61" i="1" s="1"/>
  <c r="A62" i="1" s="1"/>
  <c r="A63" i="1" s="1"/>
  <c r="A77" i="1"/>
  <c r="A78" i="1" s="1"/>
  <c r="A79" i="1" s="1"/>
  <c r="A80" i="1" s="1"/>
  <c r="A81" i="1" s="1"/>
  <c r="A82" i="1" s="1"/>
  <c r="A83" i="1" s="1"/>
  <c r="A84" i="1" s="1"/>
  <c r="A85" i="1" s="1"/>
  <c r="A86" i="1" s="1"/>
  <c r="A87" i="1" s="1"/>
  <c r="A89" i="1"/>
  <c r="A90" i="1" s="1"/>
  <c r="A91" i="1" s="1"/>
  <c r="A92" i="1" s="1"/>
  <c r="A93" i="1" s="1"/>
  <c r="A94" i="1" s="1"/>
  <c r="A95" i="1" s="1"/>
  <c r="A96" i="1" s="1"/>
  <c r="A97" i="1" s="1"/>
  <c r="A98" i="1" s="1"/>
  <c r="A99" i="1" s="1"/>
  <c r="A101" i="1"/>
  <c r="A102" i="1" s="1"/>
  <c r="A103" i="1" s="1"/>
  <c r="A104" i="1" s="1"/>
  <c r="A105" i="1" s="1"/>
  <c r="A106" i="1" s="1"/>
  <c r="A107" i="1" s="1"/>
  <c r="A108" i="1" s="1"/>
  <c r="A109" i="1" s="1"/>
  <c r="A110" i="1" s="1"/>
  <c r="A111" i="1" s="1"/>
  <c r="A113" i="1"/>
  <c r="A114" i="1" s="1"/>
  <c r="A115" i="1" s="1"/>
  <c r="A116" i="1" s="1"/>
  <c r="A117" i="1" s="1"/>
  <c r="A118" i="1" s="1"/>
  <c r="A119" i="1" s="1"/>
  <c r="A120" i="1" s="1"/>
  <c r="A121" i="1" s="1"/>
  <c r="A122" i="1" s="1"/>
  <c r="A123" i="1" s="1"/>
  <c r="A125" i="1"/>
  <c r="A126" i="1" s="1"/>
  <c r="A127" i="1" s="1"/>
  <c r="A128" i="1" s="1"/>
  <c r="A129" i="1" s="1"/>
  <c r="A130" i="1" s="1"/>
  <c r="A131" i="1" s="1"/>
  <c r="A132" i="1" s="1"/>
  <c r="A133" i="1" s="1"/>
  <c r="A134" i="1" s="1"/>
  <c r="A135" i="1" s="1"/>
  <c r="G108" i="2" l="1"/>
  <c r="F57" i="2"/>
  <c r="F31" i="2"/>
  <c r="H127" i="1"/>
  <c r="C126" i="5" s="1"/>
  <c r="C71" i="2"/>
  <c r="H133" i="1"/>
  <c r="C132" i="5" s="1"/>
  <c r="H139" i="1"/>
  <c r="C138" i="5" s="1"/>
  <c r="D61" i="2"/>
  <c r="D32" i="2"/>
  <c r="I62" i="1"/>
  <c r="F62" i="2"/>
  <c r="E54" i="2"/>
  <c r="F26" i="2"/>
  <c r="D54" i="2"/>
  <c r="D14" i="2"/>
  <c r="C90" i="2"/>
  <c r="C62" i="2"/>
  <c r="E53" i="2"/>
  <c r="D13" i="2"/>
  <c r="G54" i="2"/>
  <c r="F61" i="2"/>
  <c r="D53" i="2"/>
  <c r="G62" i="2"/>
  <c r="I18" i="1"/>
  <c r="F84" i="2"/>
  <c r="E61" i="2"/>
  <c r="H158" i="1"/>
  <c r="E158" i="2" s="1"/>
  <c r="G25" i="2"/>
  <c r="I31" i="1"/>
  <c r="C17" i="2"/>
  <c r="C82" i="2"/>
  <c r="F59" i="2"/>
  <c r="G82" i="2"/>
  <c r="G40" i="2"/>
  <c r="D25" i="2"/>
  <c r="G71" i="2"/>
  <c r="F82" i="2"/>
  <c r="E40" i="2"/>
  <c r="F18" i="2"/>
  <c r="F71" i="2"/>
  <c r="H160" i="1"/>
  <c r="G160" i="2" s="1"/>
  <c r="E82" i="2"/>
  <c r="F39" i="2"/>
  <c r="E18" i="2"/>
  <c r="E71" i="2"/>
  <c r="D82" i="2"/>
  <c r="G61" i="2"/>
  <c r="D39" i="2"/>
  <c r="C18" i="2"/>
  <c r="D71" i="2"/>
  <c r="C108" i="2"/>
  <c r="G57" i="2"/>
  <c r="C10" i="2"/>
  <c r="F44" i="2"/>
  <c r="F96" i="2"/>
  <c r="I11" i="1"/>
  <c r="D94" i="2"/>
  <c r="C30" i="2"/>
  <c r="I10" i="1"/>
  <c r="E79" i="2"/>
  <c r="F22" i="2"/>
  <c r="G10" i="2"/>
  <c r="C22" i="2"/>
  <c r="H145" i="1"/>
  <c r="C144" i="5" s="1"/>
  <c r="G102" i="2"/>
  <c r="G116" i="2"/>
  <c r="C102" i="2"/>
  <c r="E23" i="2"/>
  <c r="E116" i="2"/>
  <c r="D116" i="2"/>
  <c r="G51" i="2"/>
  <c r="C116" i="2"/>
  <c r="E95" i="2"/>
  <c r="E51" i="2"/>
  <c r="C113" i="1"/>
  <c r="H113" i="1" s="1"/>
  <c r="C112" i="5" s="1"/>
  <c r="D112" i="5" s="1"/>
  <c r="E108" i="2"/>
  <c r="F79" i="2"/>
  <c r="F51" i="2"/>
  <c r="F23" i="2"/>
  <c r="D16" i="2"/>
  <c r="C51" i="2"/>
  <c r="F37" i="2"/>
  <c r="C29" i="2"/>
  <c r="D50" i="2"/>
  <c r="D37" i="2"/>
  <c r="F28" i="2"/>
  <c r="H142" i="1"/>
  <c r="G142" i="2" s="1"/>
  <c r="D51" i="2"/>
  <c r="I23" i="1"/>
  <c r="E35" i="2"/>
  <c r="D84" i="2"/>
  <c r="D48" i="2"/>
  <c r="D28" i="2"/>
  <c r="D35" i="2"/>
  <c r="G56" i="2"/>
  <c r="C28" i="2"/>
  <c r="H122" i="1"/>
  <c r="C121" i="5" s="1"/>
  <c r="I63" i="1"/>
  <c r="I57" i="1"/>
  <c r="F56" i="2"/>
  <c r="F42" i="2"/>
  <c r="C65" i="2"/>
  <c r="E28" i="2"/>
  <c r="C84" i="2"/>
  <c r="I55" i="1"/>
  <c r="C56" i="2"/>
  <c r="E42" i="2"/>
  <c r="F63" i="2"/>
  <c r="C42" i="2"/>
  <c r="E133" i="2"/>
  <c r="F41" i="2"/>
  <c r="G28" i="2"/>
  <c r="C100" i="5"/>
  <c r="D101" i="5" s="1"/>
  <c r="E101" i="2"/>
  <c r="I52" i="1"/>
  <c r="E56" i="2"/>
  <c r="G52" i="2"/>
  <c r="G100" i="2"/>
  <c r="D127" i="2"/>
  <c r="C100" i="2"/>
  <c r="E44" i="2"/>
  <c r="H109" i="1"/>
  <c r="C108" i="5" s="1"/>
  <c r="C123" i="1"/>
  <c r="H123" i="1" s="1"/>
  <c r="C122" i="5" s="1"/>
  <c r="E52" i="2"/>
  <c r="G65" i="2"/>
  <c r="D105" i="2"/>
  <c r="G77" i="2"/>
  <c r="C52" i="5"/>
  <c r="F65" i="2"/>
  <c r="F77" i="2"/>
  <c r="E38" i="2"/>
  <c r="G30" i="2"/>
  <c r="E65" i="2"/>
  <c r="G90" i="2"/>
  <c r="E77" i="2"/>
  <c r="F30" i="2"/>
  <c r="C114" i="1"/>
  <c r="H114" i="1" s="1"/>
  <c r="D114" i="2" s="1"/>
  <c r="D65" i="2"/>
  <c r="H110" i="1"/>
  <c r="C110" i="2" s="1"/>
  <c r="E86" i="2"/>
  <c r="G86" i="2"/>
  <c r="C86" i="2"/>
  <c r="G76" i="2"/>
  <c r="C120" i="1"/>
  <c r="C60" i="2"/>
  <c r="H118" i="1"/>
  <c r="I83" i="1" s="1"/>
  <c r="C55" i="5"/>
  <c r="C128" i="1"/>
  <c r="H128" i="1" s="1"/>
  <c r="G128" i="2" s="1"/>
  <c r="I61" i="1"/>
  <c r="G97" i="2"/>
  <c r="E89" i="2"/>
  <c r="I19" i="1"/>
  <c r="E97" i="2"/>
  <c r="C89" i="2"/>
  <c r="C111" i="1"/>
  <c r="H111" i="1" s="1"/>
  <c r="D111" i="2" s="1"/>
  <c r="H115" i="1"/>
  <c r="G115" i="2" s="1"/>
  <c r="C97" i="2"/>
  <c r="G14" i="2"/>
  <c r="H135" i="1"/>
  <c r="C135" i="2" s="1"/>
  <c r="I34" i="1"/>
  <c r="G68" i="2"/>
  <c r="F94" i="2"/>
  <c r="D87" i="2"/>
  <c r="G60" i="2"/>
  <c r="F53" i="2"/>
  <c r="D33" i="2"/>
  <c r="C80" i="5"/>
  <c r="D81" i="5" s="1"/>
  <c r="C33" i="5"/>
  <c r="H155" i="1"/>
  <c r="G155" i="2" s="1"/>
  <c r="D74" i="2"/>
  <c r="C67" i="5"/>
  <c r="D68" i="5" s="1"/>
  <c r="C73" i="5"/>
  <c r="C74" i="2"/>
  <c r="C94" i="2"/>
  <c r="G81" i="2"/>
  <c r="E59" i="2"/>
  <c r="D40" i="2"/>
  <c r="I59" i="1"/>
  <c r="F68" i="2"/>
  <c r="F81" i="2"/>
  <c r="G34" i="2"/>
  <c r="E68" i="2"/>
  <c r="C81" i="2"/>
  <c r="G47" i="2"/>
  <c r="F34" i="2"/>
  <c r="F21" i="2"/>
  <c r="D68" i="2"/>
  <c r="G74" i="2"/>
  <c r="F47" i="2"/>
  <c r="E34" i="2"/>
  <c r="E20" i="2"/>
  <c r="F74" i="2"/>
  <c r="I94" i="1"/>
  <c r="I54" i="1"/>
  <c r="I53" i="1"/>
  <c r="I15" i="1"/>
  <c r="G94" i="2"/>
  <c r="G53" i="2"/>
  <c r="D46" i="2"/>
  <c r="C34" i="2"/>
  <c r="C60" i="5"/>
  <c r="C106" i="5"/>
  <c r="F107" i="2"/>
  <c r="C105" i="5"/>
  <c r="G106" i="2"/>
  <c r="F106" i="2"/>
  <c r="C106" i="2"/>
  <c r="E106" i="2"/>
  <c r="C118" i="5"/>
  <c r="E119" i="2"/>
  <c r="I98" i="1"/>
  <c r="I47" i="1"/>
  <c r="D133" i="2"/>
  <c r="C101" i="2"/>
  <c r="G99" i="2"/>
  <c r="F91" i="2"/>
  <c r="G88" i="2"/>
  <c r="G78" i="2"/>
  <c r="G46" i="2"/>
  <c r="C46" i="2"/>
  <c r="E31" i="2"/>
  <c r="D27" i="2"/>
  <c r="D20" i="2"/>
  <c r="G17" i="2"/>
  <c r="G12" i="2"/>
  <c r="H121" i="1"/>
  <c r="C117" i="1"/>
  <c r="H117" i="1" s="1"/>
  <c r="E117" i="2" s="1"/>
  <c r="C41" i="5"/>
  <c r="C39" i="5"/>
  <c r="C29" i="5"/>
  <c r="C134" i="1"/>
  <c r="H134" i="1" s="1"/>
  <c r="D99" i="2"/>
  <c r="D91" i="2"/>
  <c r="E88" i="2"/>
  <c r="D78" i="2"/>
  <c r="F46" i="2"/>
  <c r="F17" i="2"/>
  <c r="E12" i="2"/>
  <c r="H151" i="1"/>
  <c r="G151" i="2" s="1"/>
  <c r="H144" i="1"/>
  <c r="E144" i="2" s="1"/>
  <c r="I90" i="1"/>
  <c r="I38" i="1"/>
  <c r="I12" i="1"/>
  <c r="F133" i="2"/>
  <c r="D112" i="2"/>
  <c r="G101" i="2"/>
  <c r="G95" i="2"/>
  <c r="C88" i="2"/>
  <c r="E46" i="2"/>
  <c r="D17" i="2"/>
  <c r="C12" i="2"/>
  <c r="I30" i="1"/>
  <c r="C16" i="5"/>
  <c r="C91" i="5"/>
  <c r="E92" i="2"/>
  <c r="H149" i="1"/>
  <c r="C148" i="5" s="1"/>
  <c r="I91" i="1"/>
  <c r="I56" i="1"/>
  <c r="I41" i="1"/>
  <c r="I25" i="1"/>
  <c r="I13" i="1"/>
  <c r="F108" i="2"/>
  <c r="D101" i="2"/>
  <c r="C99" i="2"/>
  <c r="D97" i="2"/>
  <c r="F95" i="2"/>
  <c r="G91" i="2"/>
  <c r="C91" i="2"/>
  <c r="G89" i="2"/>
  <c r="D88" i="2"/>
  <c r="D86" i="2"/>
  <c r="C78" i="2"/>
  <c r="F52" i="2"/>
  <c r="G50" i="2"/>
  <c r="C41" i="2"/>
  <c r="F38" i="2"/>
  <c r="C32" i="2"/>
  <c r="F29" i="2"/>
  <c r="G26" i="2"/>
  <c r="F25" i="2"/>
  <c r="E22" i="2"/>
  <c r="D21" i="2"/>
  <c r="F19" i="2"/>
  <c r="E16" i="2"/>
  <c r="F12" i="2"/>
  <c r="C107" i="5"/>
  <c r="C90" i="5"/>
  <c r="C20" i="5"/>
  <c r="C15" i="5"/>
  <c r="F64" i="2"/>
  <c r="F69" i="2"/>
  <c r="I96" i="1"/>
  <c r="I51" i="1"/>
  <c r="I40" i="1"/>
  <c r="I21" i="1"/>
  <c r="I16" i="1"/>
  <c r="F101" i="2"/>
  <c r="F99" i="2"/>
  <c r="F97" i="2"/>
  <c r="C95" i="2"/>
  <c r="D89" i="2"/>
  <c r="F88" i="2"/>
  <c r="E85" i="2"/>
  <c r="C52" i="2"/>
  <c r="C50" i="2"/>
  <c r="C38" i="2"/>
  <c r="E36" i="2"/>
  <c r="G32" i="2"/>
  <c r="C26" i="2"/>
  <c r="C25" i="2"/>
  <c r="G21" i="2"/>
  <c r="C16" i="2"/>
  <c r="D12" i="2"/>
  <c r="H125" i="1"/>
  <c r="C125" i="2" s="1"/>
  <c r="C51" i="5"/>
  <c r="D51" i="5" s="1"/>
  <c r="C37" i="5"/>
  <c r="C31" i="5"/>
  <c r="C24" i="5"/>
  <c r="H140" i="1"/>
  <c r="G140" i="2" s="1"/>
  <c r="D66" i="2"/>
  <c r="D72" i="2"/>
  <c r="E124" i="2"/>
  <c r="D124" i="2"/>
  <c r="C57" i="5"/>
  <c r="C58" i="2"/>
  <c r="G58" i="2"/>
  <c r="C32" i="5"/>
  <c r="E33" i="2"/>
  <c r="C23" i="5"/>
  <c r="F24" i="2"/>
  <c r="C74" i="5"/>
  <c r="F75" i="2"/>
  <c r="I45" i="1"/>
  <c r="I36" i="1"/>
  <c r="I27" i="1"/>
  <c r="I20" i="1"/>
  <c r="F127" i="2"/>
  <c r="G119" i="2"/>
  <c r="C119" i="2"/>
  <c r="F112" i="2"/>
  <c r="D107" i="2"/>
  <c r="F105" i="2"/>
  <c r="E102" i="2"/>
  <c r="E100" i="2"/>
  <c r="D96" i="2"/>
  <c r="G92" i="2"/>
  <c r="C92" i="2"/>
  <c r="E90" i="2"/>
  <c r="F87" i="2"/>
  <c r="G85" i="2"/>
  <c r="C85" i="2"/>
  <c r="E58" i="2"/>
  <c r="F48" i="2"/>
  <c r="F45" i="2"/>
  <c r="C36" i="2"/>
  <c r="G33" i="2"/>
  <c r="F27" i="2"/>
  <c r="E24" i="2"/>
  <c r="D19" i="2"/>
  <c r="C63" i="2"/>
  <c r="E63" i="2"/>
  <c r="C59" i="5"/>
  <c r="F60" i="2"/>
  <c r="C44" i="2"/>
  <c r="G44" i="2"/>
  <c r="C36" i="5"/>
  <c r="E37" i="2"/>
  <c r="C28" i="5"/>
  <c r="E29" i="2"/>
  <c r="C23" i="2"/>
  <c r="G23" i="2"/>
  <c r="C19" i="5"/>
  <c r="F20" i="2"/>
  <c r="C13" i="5"/>
  <c r="E14" i="2"/>
  <c r="I99" i="1"/>
  <c r="I95" i="1"/>
  <c r="I89" i="1"/>
  <c r="I76" i="1"/>
  <c r="I60" i="1"/>
  <c r="I48" i="1"/>
  <c r="I42" i="1"/>
  <c r="I39" i="1"/>
  <c r="I35" i="1"/>
  <c r="I32" i="1"/>
  <c r="I29" i="1"/>
  <c r="I26" i="1"/>
  <c r="I22" i="1"/>
  <c r="I17" i="1"/>
  <c r="I14" i="1"/>
  <c r="G133" i="2"/>
  <c r="E127" i="2"/>
  <c r="F119" i="2"/>
  <c r="E112" i="2"/>
  <c r="G107" i="2"/>
  <c r="C107" i="2"/>
  <c r="D106" i="2"/>
  <c r="E105" i="2"/>
  <c r="D102" i="2"/>
  <c r="D100" i="2"/>
  <c r="E99" i="2"/>
  <c r="G96" i="2"/>
  <c r="C96" i="2"/>
  <c r="D95" i="2"/>
  <c r="E94" i="2"/>
  <c r="F92" i="2"/>
  <c r="D90" i="2"/>
  <c r="F89" i="2"/>
  <c r="E87" i="2"/>
  <c r="F86" i="2"/>
  <c r="F85" i="2"/>
  <c r="G84" i="2"/>
  <c r="D81" i="2"/>
  <c r="G63" i="2"/>
  <c r="E60" i="2"/>
  <c r="D58" i="2"/>
  <c r="C54" i="2"/>
  <c r="E50" i="2"/>
  <c r="C45" i="2"/>
  <c r="G42" i="2"/>
  <c r="C40" i="2"/>
  <c r="G38" i="2"/>
  <c r="G37" i="2"/>
  <c r="G36" i="2"/>
  <c r="F33" i="2"/>
  <c r="E32" i="2"/>
  <c r="E30" i="2"/>
  <c r="D29" i="2"/>
  <c r="E27" i="2"/>
  <c r="D24" i="2"/>
  <c r="D23" i="2"/>
  <c r="C21" i="2"/>
  <c r="C20" i="2"/>
  <c r="G16" i="2"/>
  <c r="E15" i="2"/>
  <c r="C14" i="2"/>
  <c r="H103" i="1"/>
  <c r="G103" i="2" s="1"/>
  <c r="C84" i="5"/>
  <c r="C78" i="5"/>
  <c r="C79" i="2"/>
  <c r="G79" i="2"/>
  <c r="C61" i="5"/>
  <c r="E62" i="2"/>
  <c r="C59" i="2"/>
  <c r="G59" i="2"/>
  <c r="C38" i="5"/>
  <c r="C39" i="2"/>
  <c r="G39" i="2"/>
  <c r="C35" i="5"/>
  <c r="C30" i="5"/>
  <c r="C31" i="2"/>
  <c r="G31" i="2"/>
  <c r="C21" i="5"/>
  <c r="D22" i="5" s="1"/>
  <c r="D22" i="2"/>
  <c r="C9" i="5"/>
  <c r="F10" i="2"/>
  <c r="H10" i="2" s="1"/>
  <c r="F66" i="2"/>
  <c r="G69" i="2"/>
  <c r="G75" i="2"/>
  <c r="C47" i="5"/>
  <c r="C48" i="2"/>
  <c r="G48" i="2"/>
  <c r="C27" i="2"/>
  <c r="G27" i="2"/>
  <c r="C19" i="2"/>
  <c r="G19" i="2"/>
  <c r="H157" i="1"/>
  <c r="F157" i="2" s="1"/>
  <c r="E72" i="2"/>
  <c r="C72" i="2"/>
  <c r="I97" i="1"/>
  <c r="I58" i="1"/>
  <c r="I46" i="1"/>
  <c r="I37" i="1"/>
  <c r="I33" i="1"/>
  <c r="I28" i="1"/>
  <c r="I24" i="1"/>
  <c r="C127" i="2"/>
  <c r="D119" i="2"/>
  <c r="G112" i="2"/>
  <c r="C112" i="2"/>
  <c r="E107" i="2"/>
  <c r="G105" i="2"/>
  <c r="C105" i="2"/>
  <c r="F102" i="2"/>
  <c r="F100" i="2"/>
  <c r="E96" i="2"/>
  <c r="D92" i="2"/>
  <c r="F90" i="2"/>
  <c r="G87" i="2"/>
  <c r="C87" i="2"/>
  <c r="F58" i="2"/>
  <c r="D36" i="2"/>
  <c r="C33" i="2"/>
  <c r="G24" i="2"/>
  <c r="E19" i="2"/>
  <c r="C76" i="5"/>
  <c r="D77" i="2"/>
  <c r="C57" i="2"/>
  <c r="C56" i="5"/>
  <c r="D57" i="2"/>
  <c r="C53" i="5"/>
  <c r="C49" i="5"/>
  <c r="D50" i="5" s="1"/>
  <c r="C43" i="5"/>
  <c r="C34" i="5"/>
  <c r="C35" i="2"/>
  <c r="G35" i="2"/>
  <c r="C25" i="5"/>
  <c r="D26" i="5" s="1"/>
  <c r="D26" i="2"/>
  <c r="C17" i="5"/>
  <c r="D18" i="5" s="1"/>
  <c r="D18" i="2"/>
  <c r="H146" i="1"/>
  <c r="E146" i="2" s="1"/>
  <c r="C66" i="2"/>
  <c r="C69" i="2"/>
  <c r="F70" i="2"/>
  <c r="E70" i="2"/>
  <c r="H104" i="1"/>
  <c r="C104" i="2" s="1"/>
  <c r="H159" i="1"/>
  <c r="F159" i="2" s="1"/>
  <c r="A181" i="5"/>
  <c r="A182" i="5" s="1"/>
  <c r="D95" i="5"/>
  <c r="H98" i="1"/>
  <c r="C98" i="2" s="1"/>
  <c r="C48" i="5"/>
  <c r="C49" i="2"/>
  <c r="I49" i="1"/>
  <c r="D49" i="2"/>
  <c r="E49" i="2"/>
  <c r="I50" i="1"/>
  <c r="F49" i="2"/>
  <c r="C92" i="5"/>
  <c r="C93" i="2"/>
  <c r="D93" i="2"/>
  <c r="E93" i="2"/>
  <c r="F93" i="2"/>
  <c r="G93" i="2"/>
  <c r="C82" i="5"/>
  <c r="D82" i="5" s="1"/>
  <c r="E83" i="2"/>
  <c r="F83" i="2"/>
  <c r="G83" i="2"/>
  <c r="C83" i="2"/>
  <c r="H80" i="1"/>
  <c r="C80" i="2" s="1"/>
  <c r="C55" i="2"/>
  <c r="C54" i="5"/>
  <c r="E55" i="2"/>
  <c r="F55" i="2"/>
  <c r="G55" i="2"/>
  <c r="C123" i="5"/>
  <c r="F124" i="2"/>
  <c r="G124" i="2"/>
  <c r="C124" i="2"/>
  <c r="C42" i="5"/>
  <c r="D43" i="2"/>
  <c r="E43" i="2"/>
  <c r="C43" i="2"/>
  <c r="I43" i="1"/>
  <c r="F43" i="2"/>
  <c r="G43" i="2"/>
  <c r="I44" i="1"/>
  <c r="G49" i="2"/>
  <c r="H126" i="1"/>
  <c r="H129" i="1"/>
  <c r="C129" i="2" s="1"/>
  <c r="C75" i="5"/>
  <c r="E76" i="2"/>
  <c r="D7" i="6"/>
  <c r="J7" i="6"/>
  <c r="E7" i="6"/>
  <c r="K7" i="6"/>
  <c r="F7" i="6"/>
  <c r="G7" i="6"/>
  <c r="C132" i="1"/>
  <c r="C131" i="1"/>
  <c r="C66" i="5"/>
  <c r="D67" i="2"/>
  <c r="E67" i="2"/>
  <c r="F67" i="2"/>
  <c r="G67" i="2"/>
  <c r="D76" i="2"/>
  <c r="H130" i="1"/>
  <c r="C130" i="2" s="1"/>
  <c r="C44" i="5"/>
  <c r="D45" i="2"/>
  <c r="E45" i="2"/>
  <c r="C12" i="5"/>
  <c r="D12" i="5" s="1"/>
  <c r="E13" i="2"/>
  <c r="F13" i="2"/>
  <c r="G13" i="2"/>
  <c r="C138" i="1"/>
  <c r="H138" i="1" s="1"/>
  <c r="F138" i="2" s="1"/>
  <c r="H136" i="1"/>
  <c r="C76" i="2"/>
  <c r="D89" i="5"/>
  <c r="C77" i="5"/>
  <c r="E78" i="2"/>
  <c r="C63" i="5"/>
  <c r="D64" i="5" s="1"/>
  <c r="G64" i="2"/>
  <c r="C64" i="2"/>
  <c r="D64" i="2"/>
  <c r="C72" i="5"/>
  <c r="D73" i="2"/>
  <c r="E73" i="2"/>
  <c r="F73" i="2"/>
  <c r="G73" i="2"/>
  <c r="F116" i="2"/>
  <c r="C85" i="5"/>
  <c r="C83" i="5"/>
  <c r="C62" i="5"/>
  <c r="C58" i="5"/>
  <c r="C46" i="5"/>
  <c r="D46" i="5" s="1"/>
  <c r="D47" i="2"/>
  <c r="E47" i="2"/>
  <c r="C40" i="5"/>
  <c r="D41" i="2"/>
  <c r="E41" i="2"/>
  <c r="E137" i="1"/>
  <c r="H137" i="1" s="1"/>
  <c r="C143" i="1"/>
  <c r="C152" i="1"/>
  <c r="D94" i="5"/>
  <c r="D88" i="5"/>
  <c r="C14" i="5"/>
  <c r="G15" i="2"/>
  <c r="C15" i="2"/>
  <c r="D15" i="2"/>
  <c r="C10" i="5"/>
  <c r="C11" i="2"/>
  <c r="D11" i="2"/>
  <c r="E11" i="2"/>
  <c r="F11" i="2"/>
  <c r="I7" i="6"/>
  <c r="H153" i="1"/>
  <c r="C67" i="2"/>
  <c r="C69" i="5"/>
  <c r="G70" i="2"/>
  <c r="C70" i="2"/>
  <c r="D70" i="2"/>
  <c r="H148" i="1"/>
  <c r="C147" i="1"/>
  <c r="C141" i="1"/>
  <c r="H141" i="1" s="1"/>
  <c r="C140" i="5" s="1"/>
  <c r="C156" i="1"/>
  <c r="C150" i="1"/>
  <c r="E69" i="2"/>
  <c r="E75" i="2"/>
  <c r="G66" i="2"/>
  <c r="D69" i="2"/>
  <c r="G72" i="2"/>
  <c r="D75" i="2"/>
  <c r="C65" i="5"/>
  <c r="C71" i="5"/>
  <c r="D71" i="5" s="1"/>
  <c r="H154" i="1"/>
  <c r="G154" i="2" s="1"/>
  <c r="D96" i="5"/>
  <c r="D27" i="5"/>
  <c r="D99" i="5"/>
  <c r="D87" i="5"/>
  <c r="D139" i="2"/>
  <c r="H162" i="1"/>
  <c r="E161" i="2"/>
  <c r="F161" i="2"/>
  <c r="C160" i="5"/>
  <c r="D161" i="2"/>
  <c r="G161" i="2"/>
  <c r="C158" i="2" l="1"/>
  <c r="E114" i="2"/>
  <c r="H54" i="2"/>
  <c r="G158" i="2"/>
  <c r="E142" i="2"/>
  <c r="F139" i="2"/>
  <c r="C157" i="5"/>
  <c r="F158" i="2"/>
  <c r="G127" i="2"/>
  <c r="H127" i="2" s="1"/>
  <c r="D100" i="5"/>
  <c r="I80" i="1"/>
  <c r="E139" i="2"/>
  <c r="C139" i="2"/>
  <c r="D158" i="2"/>
  <c r="H158" i="2" s="1"/>
  <c r="F115" i="2"/>
  <c r="G139" i="2"/>
  <c r="C133" i="2"/>
  <c r="H133" i="2" s="1"/>
  <c r="C141" i="5"/>
  <c r="D141" i="5" s="1"/>
  <c r="F142" i="2"/>
  <c r="G135" i="2"/>
  <c r="F135" i="2"/>
  <c r="G114" i="2"/>
  <c r="I79" i="1"/>
  <c r="H71" i="2"/>
  <c r="H61" i="2"/>
  <c r="I86" i="1"/>
  <c r="C142" i="2"/>
  <c r="C145" i="2"/>
  <c r="H62" i="2"/>
  <c r="D160" i="2"/>
  <c r="C134" i="5"/>
  <c r="E145" i="2"/>
  <c r="D142" i="2"/>
  <c r="E160" i="2"/>
  <c r="H18" i="2"/>
  <c r="F160" i="2"/>
  <c r="C160" i="2"/>
  <c r="H82" i="2"/>
  <c r="C159" i="5"/>
  <c r="D160" i="5" s="1"/>
  <c r="E115" i="2"/>
  <c r="H108" i="2"/>
  <c r="C115" i="2"/>
  <c r="H52" i="2"/>
  <c r="D67" i="5"/>
  <c r="H51" i="2"/>
  <c r="D61" i="5"/>
  <c r="F145" i="2"/>
  <c r="G145" i="2"/>
  <c r="D145" i="2"/>
  <c r="H65" i="2"/>
  <c r="D56" i="5"/>
  <c r="G113" i="2"/>
  <c r="E113" i="2"/>
  <c r="D113" i="2"/>
  <c r="G110" i="2"/>
  <c r="H42" i="2"/>
  <c r="F110" i="2"/>
  <c r="E110" i="2"/>
  <c r="C111" i="2"/>
  <c r="G111" i="2"/>
  <c r="F103" i="2"/>
  <c r="D110" i="2"/>
  <c r="I77" i="1"/>
  <c r="C110" i="5"/>
  <c r="D111" i="5" s="1"/>
  <c r="H34" i="2"/>
  <c r="F113" i="2"/>
  <c r="E103" i="2"/>
  <c r="F111" i="2"/>
  <c r="C109" i="5"/>
  <c r="D109" i="5" s="1"/>
  <c r="C113" i="2"/>
  <c r="E111" i="2"/>
  <c r="H116" i="2"/>
  <c r="H53" i="2"/>
  <c r="H56" i="2"/>
  <c r="D122" i="5"/>
  <c r="C139" i="5"/>
  <c r="D139" i="5" s="1"/>
  <c r="H22" i="2"/>
  <c r="H28" i="2"/>
  <c r="D122" i="2"/>
  <c r="G122" i="2"/>
  <c r="F114" i="2"/>
  <c r="F122" i="2"/>
  <c r="C113" i="5"/>
  <c r="D113" i="5" s="1"/>
  <c r="I78" i="1"/>
  <c r="C122" i="2"/>
  <c r="E122" i="2"/>
  <c r="F117" i="2"/>
  <c r="F109" i="2"/>
  <c r="H81" i="2"/>
  <c r="E123" i="2"/>
  <c r="H84" i="2"/>
  <c r="C118" i="2"/>
  <c r="E118" i="2"/>
  <c r="D109" i="2"/>
  <c r="I87" i="1"/>
  <c r="H77" i="2"/>
  <c r="C123" i="2"/>
  <c r="G118" i="2"/>
  <c r="D123" i="5"/>
  <c r="C109" i="2"/>
  <c r="I88" i="1"/>
  <c r="E109" i="2"/>
  <c r="G123" i="2"/>
  <c r="D123" i="2"/>
  <c r="F123" i="2"/>
  <c r="G109" i="2"/>
  <c r="D106" i="5"/>
  <c r="H74" i="2"/>
  <c r="D151" i="2"/>
  <c r="H57" i="2"/>
  <c r="F144" i="2"/>
  <c r="D60" i="5"/>
  <c r="D53" i="5"/>
  <c r="C150" i="5"/>
  <c r="C151" i="2"/>
  <c r="H94" i="2"/>
  <c r="E151" i="2"/>
  <c r="F151" i="2"/>
  <c r="H14" i="2"/>
  <c r="C114" i="2"/>
  <c r="F149" i="2"/>
  <c r="H30" i="2"/>
  <c r="H40" i="2"/>
  <c r="D74" i="5"/>
  <c r="E128" i="2"/>
  <c r="D16" i="5"/>
  <c r="H120" i="1"/>
  <c r="C120" i="2" s="1"/>
  <c r="E135" i="2"/>
  <c r="D135" i="2"/>
  <c r="D30" i="5"/>
  <c r="H97" i="2"/>
  <c r="H68" i="2"/>
  <c r="C114" i="5"/>
  <c r="D115" i="5" s="1"/>
  <c r="D115" i="2"/>
  <c r="D73" i="5"/>
  <c r="C117" i="5"/>
  <c r="D118" i="5" s="1"/>
  <c r="D118" i="2"/>
  <c r="F118" i="2"/>
  <c r="D117" i="2"/>
  <c r="C117" i="2"/>
  <c r="D52" i="5"/>
  <c r="I82" i="1"/>
  <c r="D103" i="2"/>
  <c r="C154" i="5"/>
  <c r="C155" i="2"/>
  <c r="C128" i="2"/>
  <c r="E155" i="2"/>
  <c r="D155" i="2"/>
  <c r="F128" i="2"/>
  <c r="I81" i="1"/>
  <c r="F155" i="2"/>
  <c r="H35" i="2"/>
  <c r="H25" i="2"/>
  <c r="D92" i="5"/>
  <c r="D48" i="5"/>
  <c r="D91" i="5"/>
  <c r="H17" i="2"/>
  <c r="D36" i="5"/>
  <c r="H16" i="2"/>
  <c r="H32" i="2"/>
  <c r="D21" i="5"/>
  <c r="D58" i="5"/>
  <c r="F38" i="5"/>
  <c r="H48" i="2"/>
  <c r="D38" i="5"/>
  <c r="H91" i="2"/>
  <c r="H107" i="2"/>
  <c r="H63" i="2"/>
  <c r="H119" i="2"/>
  <c r="D105" i="5"/>
  <c r="D34" i="5"/>
  <c r="D24" i="5"/>
  <c r="H21" i="2"/>
  <c r="H33" i="2"/>
  <c r="H100" i="2"/>
  <c r="H46" i="2"/>
  <c r="H99" i="2"/>
  <c r="D90" i="5"/>
  <c r="D76" i="5"/>
  <c r="H90" i="2"/>
  <c r="D39" i="5"/>
  <c r="H78" i="2"/>
  <c r="H24" i="2"/>
  <c r="C149" i="2"/>
  <c r="D25" i="5"/>
  <c r="H86" i="2"/>
  <c r="H85" i="2"/>
  <c r="H102" i="2"/>
  <c r="D31" i="5"/>
  <c r="H12" i="2"/>
  <c r="H26" i="2"/>
  <c r="H50" i="2"/>
  <c r="H89" i="2"/>
  <c r="H101" i="2"/>
  <c r="H88" i="2"/>
  <c r="H95" i="2"/>
  <c r="C143" i="5"/>
  <c r="D144" i="5" s="1"/>
  <c r="D144" i="2"/>
  <c r="D40" i="5"/>
  <c r="D23" i="5"/>
  <c r="D62" i="5"/>
  <c r="E149" i="2"/>
  <c r="H27" i="2"/>
  <c r="H59" i="2"/>
  <c r="H79" i="2"/>
  <c r="H106" i="2"/>
  <c r="D37" i="5"/>
  <c r="G144" i="2"/>
  <c r="C116" i="5"/>
  <c r="G117" i="2"/>
  <c r="H75" i="2"/>
  <c r="C141" i="2"/>
  <c r="G38" i="5"/>
  <c r="D84" i="5"/>
  <c r="D43" i="5"/>
  <c r="D149" i="2"/>
  <c r="G149" i="2"/>
  <c r="H31" i="2"/>
  <c r="H39" i="2"/>
  <c r="H58" i="2"/>
  <c r="G125" i="2"/>
  <c r="H23" i="2"/>
  <c r="H37" i="2"/>
  <c r="H60" i="2"/>
  <c r="D20" i="5"/>
  <c r="C144" i="2"/>
  <c r="D121" i="2"/>
  <c r="C120" i="5"/>
  <c r="F121" i="2"/>
  <c r="G121" i="2"/>
  <c r="E121" i="2"/>
  <c r="C121" i="2"/>
  <c r="H143" i="1"/>
  <c r="C143" i="2" s="1"/>
  <c r="E141" i="2"/>
  <c r="C137" i="5"/>
  <c r="D138" i="5" s="1"/>
  <c r="D138" i="2"/>
  <c r="E138" i="2"/>
  <c r="D107" i="5"/>
  <c r="D108" i="5"/>
  <c r="F141" i="2"/>
  <c r="D32" i="5"/>
  <c r="E159" i="2"/>
  <c r="C159" i="2"/>
  <c r="G159" i="2"/>
  <c r="C158" i="5"/>
  <c r="D159" i="2"/>
  <c r="F26" i="5"/>
  <c r="D19" i="5"/>
  <c r="D29" i="5"/>
  <c r="F32" i="5"/>
  <c r="D28" i="5"/>
  <c r="E20" i="5"/>
  <c r="H87" i="2"/>
  <c r="H29" i="2"/>
  <c r="H36" i="2"/>
  <c r="H112" i="2"/>
  <c r="E32" i="5"/>
  <c r="D17" i="5"/>
  <c r="D10" i="5"/>
  <c r="D15" i="5"/>
  <c r="D78" i="5"/>
  <c r="D128" i="2"/>
  <c r="C127" i="5"/>
  <c r="D127" i="5" s="1"/>
  <c r="D140" i="2"/>
  <c r="E140" i="2"/>
  <c r="C140" i="2"/>
  <c r="F140" i="2"/>
  <c r="D85" i="5"/>
  <c r="F104" i="2"/>
  <c r="D57" i="5"/>
  <c r="H19" i="2"/>
  <c r="H92" i="2"/>
  <c r="H105" i="2"/>
  <c r="E35" i="5"/>
  <c r="H38" i="2"/>
  <c r="H96" i="2"/>
  <c r="H20" i="2"/>
  <c r="H44" i="2"/>
  <c r="C124" i="5"/>
  <c r="D124" i="5" s="1"/>
  <c r="D125" i="2"/>
  <c r="E125" i="2"/>
  <c r="F125" i="2"/>
  <c r="D137" i="2"/>
  <c r="F137" i="2"/>
  <c r="E137" i="2"/>
  <c r="C137" i="2"/>
  <c r="G137" i="2"/>
  <c r="C136" i="5"/>
  <c r="G138" i="2"/>
  <c r="G141" i="2"/>
  <c r="D141" i="2"/>
  <c r="D35" i="5"/>
  <c r="E29" i="5"/>
  <c r="E23" i="5"/>
  <c r="E26" i="5"/>
  <c r="D33" i="5"/>
  <c r="E68" i="5"/>
  <c r="H66" i="2"/>
  <c r="H41" i="2"/>
  <c r="H45" i="2"/>
  <c r="E104" i="2"/>
  <c r="E56" i="5"/>
  <c r="D146" i="2"/>
  <c r="G146" i="2"/>
  <c r="C146" i="2"/>
  <c r="C145" i="5"/>
  <c r="D145" i="5" s="1"/>
  <c r="F146" i="2"/>
  <c r="D104" i="2"/>
  <c r="C133" i="5"/>
  <c r="D133" i="5" s="1"/>
  <c r="D134" i="2"/>
  <c r="E134" i="2"/>
  <c r="C134" i="2"/>
  <c r="G134" i="2"/>
  <c r="C102" i="5"/>
  <c r="D102" i="5" s="1"/>
  <c r="C103" i="2"/>
  <c r="C138" i="2"/>
  <c r="E38" i="5"/>
  <c r="H72" i="2"/>
  <c r="D44" i="5"/>
  <c r="G104" i="2"/>
  <c r="C103" i="5"/>
  <c r="D157" i="2"/>
  <c r="C156" i="5"/>
  <c r="G157" i="2"/>
  <c r="C157" i="2"/>
  <c r="E157" i="2"/>
  <c r="F134" i="2"/>
  <c r="D93" i="5"/>
  <c r="D41" i="5"/>
  <c r="E65" i="5"/>
  <c r="E41" i="5"/>
  <c r="E92" i="5"/>
  <c r="D54" i="5"/>
  <c r="E95" i="5"/>
  <c r="E62" i="5"/>
  <c r="D75" i="5"/>
  <c r="D42" i="5"/>
  <c r="F44" i="5"/>
  <c r="H64" i="2"/>
  <c r="H124" i="2"/>
  <c r="F56" i="5"/>
  <c r="E17" i="5"/>
  <c r="H67" i="2"/>
  <c r="E59" i="5"/>
  <c r="E14" i="5"/>
  <c r="E44" i="5"/>
  <c r="E71" i="5"/>
  <c r="D14" i="5"/>
  <c r="F50" i="5"/>
  <c r="D83" i="5"/>
  <c r="F74" i="5"/>
  <c r="F20" i="5"/>
  <c r="H11" i="2"/>
  <c r="H43" i="2"/>
  <c r="H83" i="2"/>
  <c r="F62" i="5"/>
  <c r="D13" i="5"/>
  <c r="G50" i="5"/>
  <c r="D49" i="5"/>
  <c r="E74" i="5"/>
  <c r="G74" i="5"/>
  <c r="E47" i="5"/>
  <c r="D69" i="5"/>
  <c r="D47" i="5"/>
  <c r="H69" i="2"/>
  <c r="H70" i="2"/>
  <c r="H15" i="2"/>
  <c r="H47" i="2"/>
  <c r="H76" i="2"/>
  <c r="H13" i="2"/>
  <c r="H55" i="2"/>
  <c r="H93" i="2"/>
  <c r="D70" i="5"/>
  <c r="H49" i="2"/>
  <c r="E50" i="5"/>
  <c r="D65" i="5"/>
  <c r="E53" i="5"/>
  <c r="D55" i="5"/>
  <c r="G62" i="5"/>
  <c r="H73" i="2"/>
  <c r="H156" i="1"/>
  <c r="C156" i="2" s="1"/>
  <c r="H152" i="1"/>
  <c r="D59" i="5"/>
  <c r="C135" i="5"/>
  <c r="G136" i="2"/>
  <c r="C136" i="2"/>
  <c r="D136" i="2"/>
  <c r="E136" i="2"/>
  <c r="F136" i="2"/>
  <c r="D86" i="5"/>
  <c r="H132" i="1"/>
  <c r="C132" i="2" s="1"/>
  <c r="G162" i="2"/>
  <c r="E162" i="2"/>
  <c r="D162" i="2"/>
  <c r="F162" i="2"/>
  <c r="E77" i="5"/>
  <c r="D72" i="5"/>
  <c r="F68" i="5"/>
  <c r="D45" i="5"/>
  <c r="D77" i="5"/>
  <c r="H147" i="1"/>
  <c r="C147" i="2" s="1"/>
  <c r="D63" i="5"/>
  <c r="E89" i="5"/>
  <c r="F92" i="5"/>
  <c r="E148" i="2"/>
  <c r="G148" i="2"/>
  <c r="D148" i="2"/>
  <c r="C148" i="2"/>
  <c r="F148" i="2"/>
  <c r="C147" i="5"/>
  <c r="C153" i="2"/>
  <c r="G153" i="2"/>
  <c r="C152" i="5"/>
  <c r="F153" i="2"/>
  <c r="D153" i="2"/>
  <c r="E153" i="2"/>
  <c r="C128" i="5"/>
  <c r="F129" i="2"/>
  <c r="G129" i="2"/>
  <c r="E129" i="2"/>
  <c r="D129" i="2"/>
  <c r="F126" i="2"/>
  <c r="G126" i="2"/>
  <c r="C125" i="5"/>
  <c r="D126" i="2"/>
  <c r="E126" i="2"/>
  <c r="E86" i="5"/>
  <c r="D66" i="5"/>
  <c r="D11" i="5"/>
  <c r="H150" i="1"/>
  <c r="C150" i="2" s="1"/>
  <c r="C162" i="2"/>
  <c r="F130" i="2"/>
  <c r="G130" i="2"/>
  <c r="C129" i="5"/>
  <c r="D130" i="2"/>
  <c r="E130" i="2"/>
  <c r="H131" i="1"/>
  <c r="C131" i="2" s="1"/>
  <c r="C126" i="2"/>
  <c r="E80" i="2"/>
  <c r="C79" i="5"/>
  <c r="F86" i="5" s="1"/>
  <c r="D80" i="2"/>
  <c r="F80" i="2"/>
  <c r="G80" i="2"/>
  <c r="I92" i="1"/>
  <c r="I93" i="1"/>
  <c r="C97" i="5"/>
  <c r="D98" i="2"/>
  <c r="E98" i="2"/>
  <c r="F98" i="2"/>
  <c r="G98" i="2"/>
  <c r="C154" i="2"/>
  <c r="E154" i="2"/>
  <c r="C153" i="5"/>
  <c r="F154" i="2"/>
  <c r="D154" i="2"/>
  <c r="C161" i="5"/>
  <c r="D161" i="5" s="1"/>
  <c r="H161" i="2"/>
  <c r="H163" i="1"/>
  <c r="D163" i="2" s="1"/>
  <c r="D157" i="5" l="1"/>
  <c r="H139" i="2"/>
  <c r="H142" i="2"/>
  <c r="D135" i="5"/>
  <c r="H114" i="2"/>
  <c r="H115" i="2"/>
  <c r="D159" i="5"/>
  <c r="H160" i="2"/>
  <c r="H111" i="2"/>
  <c r="H145" i="2"/>
  <c r="E110" i="5"/>
  <c r="H110" i="2"/>
  <c r="D110" i="5"/>
  <c r="H113" i="2"/>
  <c r="D140" i="5"/>
  <c r="H128" i="2"/>
  <c r="H122" i="2"/>
  <c r="H123" i="2"/>
  <c r="E113" i="5"/>
  <c r="H109" i="2"/>
  <c r="I85" i="1"/>
  <c r="H103" i="2"/>
  <c r="H151" i="2"/>
  <c r="H118" i="2"/>
  <c r="H135" i="2"/>
  <c r="F143" i="2"/>
  <c r="H117" i="2"/>
  <c r="F120" i="2"/>
  <c r="D120" i="2"/>
  <c r="E120" i="2"/>
  <c r="I84" i="1"/>
  <c r="C119" i="5"/>
  <c r="D119" i="5" s="1"/>
  <c r="G120" i="2"/>
  <c r="H155" i="2"/>
  <c r="D114" i="5"/>
  <c r="H144" i="2"/>
  <c r="H159" i="2"/>
  <c r="D121" i="5"/>
  <c r="H141" i="2"/>
  <c r="H149" i="2"/>
  <c r="H138" i="2"/>
  <c r="F104" i="5"/>
  <c r="F116" i="5"/>
  <c r="H125" i="2"/>
  <c r="D117" i="5"/>
  <c r="E116" i="5"/>
  <c r="D116" i="5"/>
  <c r="H140" i="2"/>
  <c r="H121" i="2"/>
  <c r="H157" i="2"/>
  <c r="D103" i="5"/>
  <c r="D158" i="5"/>
  <c r="D137" i="5"/>
  <c r="G143" i="2"/>
  <c r="D143" i="2"/>
  <c r="C142" i="5"/>
  <c r="E143" i="2"/>
  <c r="F110" i="5"/>
  <c r="D104" i="5"/>
  <c r="H104" i="2"/>
  <c r="H137" i="2"/>
  <c r="E107" i="5"/>
  <c r="E104" i="5"/>
  <c r="H134" i="2"/>
  <c r="H146" i="2"/>
  <c r="H110" i="5"/>
  <c r="D134" i="5"/>
  <c r="D136" i="5"/>
  <c r="E140" i="5"/>
  <c r="G110" i="5"/>
  <c r="E137" i="5"/>
  <c r="H130" i="2"/>
  <c r="H162" i="2"/>
  <c r="H153" i="2"/>
  <c r="H129" i="2"/>
  <c r="D129" i="5"/>
  <c r="D128" i="5"/>
  <c r="E128" i="5"/>
  <c r="H126" i="2"/>
  <c r="E125" i="5"/>
  <c r="D126" i="5"/>
  <c r="D125" i="5"/>
  <c r="D148" i="5"/>
  <c r="C151" i="5"/>
  <c r="D152" i="5" s="1"/>
  <c r="G152" i="2"/>
  <c r="D152" i="2"/>
  <c r="F152" i="2"/>
  <c r="E152" i="2"/>
  <c r="C131" i="5"/>
  <c r="F132" i="2"/>
  <c r="G132" i="2"/>
  <c r="D132" i="2"/>
  <c r="E132" i="2"/>
  <c r="H136" i="2"/>
  <c r="C152" i="2"/>
  <c r="H98" i="2"/>
  <c r="C130" i="5"/>
  <c r="D130" i="5" s="1"/>
  <c r="F131" i="2"/>
  <c r="G131" i="2"/>
  <c r="E131" i="2"/>
  <c r="D131" i="2"/>
  <c r="H148" i="2"/>
  <c r="D97" i="5"/>
  <c r="E98" i="5"/>
  <c r="E101" i="5"/>
  <c r="F98" i="5"/>
  <c r="D98" i="5"/>
  <c r="H98" i="5"/>
  <c r="G98" i="5"/>
  <c r="H80" i="2"/>
  <c r="G156" i="2"/>
  <c r="C155" i="5"/>
  <c r="E156" i="2"/>
  <c r="F156" i="2"/>
  <c r="D156" i="2"/>
  <c r="D79" i="5"/>
  <c r="D80" i="5"/>
  <c r="F80" i="5"/>
  <c r="G86" i="5"/>
  <c r="E80" i="5"/>
  <c r="E83" i="5"/>
  <c r="F150" i="2"/>
  <c r="G150" i="2"/>
  <c r="D150" i="2"/>
  <c r="C149" i="5"/>
  <c r="E150" i="2"/>
  <c r="G147" i="2"/>
  <c r="F147" i="2"/>
  <c r="E147" i="2"/>
  <c r="C146" i="5"/>
  <c r="D147" i="5" s="1"/>
  <c r="D147" i="2"/>
  <c r="D153" i="5"/>
  <c r="D154" i="5"/>
  <c r="H154" i="2"/>
  <c r="E161" i="5"/>
  <c r="E163" i="2"/>
  <c r="C162" i="5"/>
  <c r="G163" i="2"/>
  <c r="C163" i="2"/>
  <c r="F163" i="2"/>
  <c r="H164" i="1"/>
  <c r="D164" i="2" s="1"/>
  <c r="H122" i="5" l="1"/>
  <c r="F128" i="5"/>
  <c r="G122" i="5"/>
  <c r="H120" i="2"/>
  <c r="E119" i="5"/>
  <c r="D120" i="5"/>
  <c r="F122" i="5"/>
  <c r="E122" i="5"/>
  <c r="E155" i="5"/>
  <c r="H143" i="2"/>
  <c r="D142" i="5"/>
  <c r="D143" i="5"/>
  <c r="E143" i="5"/>
  <c r="H131" i="2"/>
  <c r="H156" i="2"/>
  <c r="E149" i="5"/>
  <c r="H147" i="2"/>
  <c r="F158" i="5"/>
  <c r="H132" i="2"/>
  <c r="H150" i="2"/>
  <c r="D132" i="5"/>
  <c r="D131" i="5"/>
  <c r="E152" i="5"/>
  <c r="D151" i="5"/>
  <c r="G134" i="5"/>
  <c r="D149" i="5"/>
  <c r="D150" i="5"/>
  <c r="G158" i="5"/>
  <c r="F140" i="5"/>
  <c r="F134" i="5"/>
  <c r="H158" i="5"/>
  <c r="D146" i="5"/>
  <c r="G146" i="5"/>
  <c r="E146" i="5"/>
  <c r="H146" i="5"/>
  <c r="F146" i="5"/>
  <c r="D155" i="5"/>
  <c r="D156" i="5"/>
  <c r="H134" i="5"/>
  <c r="E134" i="5"/>
  <c r="E158" i="5"/>
  <c r="E131" i="5"/>
  <c r="H152" i="2"/>
  <c r="F152" i="5"/>
  <c r="H163" i="2"/>
  <c r="C163" i="5"/>
  <c r="D163" i="5" s="1"/>
  <c r="C164" i="2"/>
  <c r="F164" i="2"/>
  <c r="E164" i="2"/>
  <c r="G164" i="2"/>
  <c r="H165" i="1"/>
  <c r="D165" i="2" s="1"/>
  <c r="D162" i="5"/>
  <c r="H166" i="1" l="1"/>
  <c r="F165" i="2"/>
  <c r="G165" i="2"/>
  <c r="C164" i="5"/>
  <c r="C165" i="2"/>
  <c r="E165" i="2"/>
  <c r="H164" i="2"/>
  <c r="H167" i="1" l="1"/>
  <c r="D167" i="2" s="1"/>
  <c r="H165" i="2"/>
  <c r="C165" i="5"/>
  <c r="F166" i="2"/>
  <c r="E166" i="2"/>
  <c r="C166" i="2"/>
  <c r="G166" i="2"/>
  <c r="D164" i="5"/>
  <c r="E164" i="5"/>
  <c r="F164" i="5"/>
  <c r="D166" i="2"/>
  <c r="D165" i="5" l="1"/>
  <c r="H168" i="1"/>
  <c r="D168" i="2" s="1"/>
  <c r="H166" i="2"/>
  <c r="G167" i="2"/>
  <c r="C166" i="5"/>
  <c r="F167" i="2"/>
  <c r="E167" i="2"/>
  <c r="C167" i="2"/>
  <c r="H167" i="2" l="1"/>
  <c r="H169" i="1"/>
  <c r="D166" i="5"/>
  <c r="C167" i="5"/>
  <c r="E168" i="2"/>
  <c r="F168" i="2"/>
  <c r="G168" i="2"/>
  <c r="C168" i="2"/>
  <c r="H170" i="1" l="1"/>
  <c r="D170" i="2" s="1"/>
  <c r="H168" i="2"/>
  <c r="D167" i="5"/>
  <c r="E167" i="5"/>
  <c r="G169" i="2"/>
  <c r="F169" i="2"/>
  <c r="C168" i="5"/>
  <c r="C169" i="2"/>
  <c r="E169" i="2"/>
  <c r="D169" i="2"/>
  <c r="C169" i="5" l="1"/>
  <c r="D169" i="5" s="1"/>
  <c r="G170" i="2"/>
  <c r="C170" i="2"/>
  <c r="F170" i="2"/>
  <c r="E170" i="2"/>
  <c r="H171" i="1"/>
  <c r="D171" i="2" s="1"/>
  <c r="H169" i="2"/>
  <c r="D168" i="5"/>
  <c r="D172" i="2" l="1"/>
  <c r="F171" i="2"/>
  <c r="C170" i="5"/>
  <c r="F170" i="5" s="1"/>
  <c r="E171" i="2"/>
  <c r="G171" i="2"/>
  <c r="C171" i="2"/>
  <c r="H170" i="2"/>
  <c r="H173" i="1" l="1"/>
  <c r="D170" i="5"/>
  <c r="E170" i="5"/>
  <c r="G170" i="5"/>
  <c r="H171" i="2"/>
  <c r="E172" i="2"/>
  <c r="G172" i="2"/>
  <c r="C171" i="5"/>
  <c r="F172" i="2"/>
  <c r="C172" i="2"/>
  <c r="H170" i="5"/>
  <c r="C172" i="5" l="1"/>
  <c r="C173" i="2"/>
  <c r="G173" i="2"/>
  <c r="E173" i="2"/>
  <c r="F173" i="2"/>
  <c r="D171" i="5"/>
  <c r="H174" i="1"/>
  <c r="C173" i="5" s="1"/>
  <c r="D173" i="2"/>
  <c r="H172" i="2"/>
  <c r="D172" i="5" l="1"/>
  <c r="D173" i="5"/>
  <c r="E173" i="5"/>
  <c r="E174" i="2"/>
  <c r="C174" i="2"/>
  <c r="F174" i="2"/>
  <c r="G174" i="2"/>
  <c r="H173" i="2"/>
  <c r="D174" i="2"/>
  <c r="D175" i="2"/>
  <c r="H174" i="2" l="1"/>
  <c r="C175" i="2"/>
  <c r="G175" i="2"/>
  <c r="C174" i="5"/>
  <c r="E175" i="2"/>
  <c r="F175" i="2"/>
  <c r="H176" i="1"/>
  <c r="E176" i="2" l="1"/>
  <c r="C176" i="2"/>
  <c r="C175" i="5"/>
  <c r="F176" i="2"/>
  <c r="G176" i="2"/>
  <c r="H175" i="2"/>
  <c r="D176" i="2"/>
  <c r="H177" i="1"/>
  <c r="D174" i="5"/>
  <c r="D175" i="5" l="1"/>
  <c r="C176" i="5"/>
  <c r="D176" i="5" s="1"/>
  <c r="C177" i="2"/>
  <c r="G177" i="2"/>
  <c r="E177" i="2"/>
  <c r="F177" i="2"/>
  <c r="H176" i="2"/>
  <c r="D177" i="2"/>
  <c r="H178" i="1"/>
  <c r="D178" i="2" s="1"/>
  <c r="F176" i="5" l="1"/>
  <c r="E178" i="2"/>
  <c r="G178" i="2"/>
  <c r="F178" i="2"/>
  <c r="C178" i="2"/>
  <c r="C177" i="5"/>
  <c r="H177" i="2"/>
  <c r="H179" i="1"/>
  <c r="D179" i="2" s="1"/>
  <c r="E176" i="5"/>
  <c r="H180" i="1" l="1"/>
  <c r="D180" i="2" s="1"/>
  <c r="D177" i="5"/>
  <c r="C179" i="2"/>
  <c r="G179" i="2"/>
  <c r="C178" i="5"/>
  <c r="E179" i="2"/>
  <c r="F179" i="2"/>
  <c r="H178" i="2"/>
  <c r="H181" i="1" l="1"/>
  <c r="D178" i="5"/>
  <c r="E180" i="2"/>
  <c r="C180" i="2"/>
  <c r="C179" i="5"/>
  <c r="E179" i="5" s="1"/>
  <c r="F180" i="2"/>
  <c r="G180" i="2"/>
  <c r="H179" i="2"/>
  <c r="C180" i="5" l="1"/>
  <c r="C181" i="2"/>
  <c r="G181" i="2"/>
  <c r="E181" i="2"/>
  <c r="F181" i="2"/>
  <c r="D181" i="2"/>
  <c r="D179" i="5"/>
  <c r="H182" i="1"/>
  <c r="H180" i="2"/>
  <c r="C253" i="1" l="1"/>
  <c r="C255" i="1"/>
  <c r="C254" i="1"/>
  <c r="D182" i="2"/>
  <c r="C181" i="5"/>
  <c r="D181" i="5" s="1"/>
  <c r="H184" i="1"/>
  <c r="D184" i="2" s="1"/>
  <c r="E182" i="2"/>
  <c r="C182" i="2"/>
  <c r="F182" i="2"/>
  <c r="G182" i="2"/>
  <c r="H181" i="2"/>
  <c r="H183" i="1"/>
  <c r="D183" i="2" s="1"/>
  <c r="D180" i="5"/>
  <c r="C258" i="1" l="1"/>
  <c r="C261" i="1" s="1"/>
  <c r="C257" i="1"/>
  <c r="C256" i="1"/>
  <c r="C183" i="5"/>
  <c r="G184" i="2"/>
  <c r="E184" i="2"/>
  <c r="F184" i="2"/>
  <c r="C184" i="2"/>
  <c r="H185" i="1"/>
  <c r="D185" i="2" s="1"/>
  <c r="H182" i="2"/>
  <c r="F183" i="2"/>
  <c r="C182" i="5"/>
  <c r="H182" i="5" s="1"/>
  <c r="C183" i="2"/>
  <c r="G183" i="2"/>
  <c r="E183" i="2"/>
  <c r="C259" i="1" l="1"/>
  <c r="C260" i="1"/>
  <c r="C264" i="1"/>
  <c r="H186" i="1"/>
  <c r="C184" i="5"/>
  <c r="E185" i="2"/>
  <c r="G185" i="2"/>
  <c r="F185" i="2"/>
  <c r="C185" i="2"/>
  <c r="H184" i="2"/>
  <c r="D183" i="5"/>
  <c r="H183" i="2"/>
  <c r="D182" i="5"/>
  <c r="G182" i="5"/>
  <c r="E182" i="5"/>
  <c r="F182" i="5"/>
  <c r="C267" i="1" l="1"/>
  <c r="C263" i="1"/>
  <c r="C262" i="1"/>
  <c r="H185" i="2"/>
  <c r="C185" i="5"/>
  <c r="G186" i="2"/>
  <c r="E186" i="2"/>
  <c r="F186" i="2"/>
  <c r="C186" i="2"/>
  <c r="D186" i="2"/>
  <c r="D184" i="5"/>
  <c r="H187" i="1"/>
  <c r="D187" i="2" s="1"/>
  <c r="C265" i="1" l="1"/>
  <c r="C266" i="1"/>
  <c r="H186" i="2"/>
  <c r="D185" i="5"/>
  <c r="E185" i="5"/>
  <c r="H188" i="1"/>
  <c r="C186" i="5"/>
  <c r="E187" i="2"/>
  <c r="C187" i="2"/>
  <c r="G187" i="2"/>
  <c r="F187" i="2"/>
  <c r="H187" i="2" l="1"/>
  <c r="D186" i="5"/>
  <c r="C187" i="5"/>
  <c r="D187" i="5" s="1"/>
  <c r="F188" i="2"/>
  <c r="C188" i="2"/>
  <c r="G188" i="2"/>
  <c r="E188" i="2"/>
  <c r="D188" i="2"/>
  <c r="H189" i="1"/>
  <c r="H190" i="1" l="1"/>
  <c r="H188" i="2"/>
  <c r="C188" i="5"/>
  <c r="E188" i="5" s="1"/>
  <c r="C189" i="2"/>
  <c r="F189" i="2"/>
  <c r="E189" i="2"/>
  <c r="G189" i="2"/>
  <c r="D189" i="2"/>
  <c r="C189" i="5" l="1"/>
  <c r="C190" i="2"/>
  <c r="F190" i="2"/>
  <c r="G190" i="2"/>
  <c r="E190" i="2"/>
  <c r="H189" i="2"/>
  <c r="D190" i="2"/>
  <c r="D188" i="5"/>
  <c r="F188" i="5"/>
  <c r="H191" i="1"/>
  <c r="C190" i="5" l="1"/>
  <c r="C191" i="2"/>
  <c r="F191" i="2"/>
  <c r="G191" i="2"/>
  <c r="E191" i="2"/>
  <c r="H192" i="1"/>
  <c r="H190" i="2"/>
  <c r="D191" i="2"/>
  <c r="D189" i="5"/>
  <c r="H191" i="2" l="1"/>
  <c r="C191" i="5"/>
  <c r="C192" i="2"/>
  <c r="G192" i="2"/>
  <c r="E192" i="2"/>
  <c r="F192" i="2"/>
  <c r="D192" i="2"/>
  <c r="H193" i="1"/>
  <c r="D193" i="2" s="1"/>
  <c r="D190" i="5"/>
  <c r="H194" i="1" l="1"/>
  <c r="H192" i="2"/>
  <c r="C192" i="5"/>
  <c r="C193" i="2"/>
  <c r="E193" i="2"/>
  <c r="F193" i="2"/>
  <c r="G193" i="2"/>
  <c r="D191" i="5"/>
  <c r="E191" i="5"/>
  <c r="H196" i="1" l="1"/>
  <c r="C196" i="2" s="1"/>
  <c r="C193" i="5"/>
  <c r="C194" i="2"/>
  <c r="E194" i="2"/>
  <c r="F194" i="2"/>
  <c r="G194" i="2"/>
  <c r="H193" i="2"/>
  <c r="D194" i="2"/>
  <c r="D192" i="5"/>
  <c r="H195" i="1"/>
  <c r="D195" i="2" s="1"/>
  <c r="F196" i="2" l="1"/>
  <c r="E196" i="2"/>
  <c r="G196" i="2"/>
  <c r="C195" i="5"/>
  <c r="H197" i="1"/>
  <c r="D196" i="2"/>
  <c r="H194" i="2"/>
  <c r="C194" i="5"/>
  <c r="F194" i="5" s="1"/>
  <c r="C195" i="2"/>
  <c r="G195" i="2"/>
  <c r="F195" i="2"/>
  <c r="E195" i="2"/>
  <c r="D193" i="5"/>
  <c r="C196" i="5" l="1"/>
  <c r="D196" i="5" s="1"/>
  <c r="G197" i="2"/>
  <c r="F197" i="2"/>
  <c r="E197" i="2"/>
  <c r="C197" i="2"/>
  <c r="H196" i="2"/>
  <c r="D197" i="2"/>
  <c r="H198" i="1"/>
  <c r="D195" i="5"/>
  <c r="H195" i="2"/>
  <c r="D194" i="5"/>
  <c r="G194" i="5"/>
  <c r="E194" i="5"/>
  <c r="H194" i="5"/>
  <c r="H197" i="2" l="1"/>
  <c r="H199" i="1"/>
  <c r="D199" i="2" s="1"/>
  <c r="G198" i="2"/>
  <c r="C198" i="2"/>
  <c r="C197" i="5"/>
  <c r="F198" i="2"/>
  <c r="E198" i="2"/>
  <c r="D198" i="2"/>
  <c r="D197" i="5" l="1"/>
  <c r="E197" i="5"/>
  <c r="H198" i="2"/>
  <c r="H200" i="1"/>
  <c r="F199" i="2"/>
  <c r="E199" i="2"/>
  <c r="C198" i="5"/>
  <c r="G199" i="2"/>
  <c r="C199" i="2"/>
  <c r="C199" i="5" l="1"/>
  <c r="E200" i="2"/>
  <c r="G200" i="2"/>
  <c r="F200" i="2"/>
  <c r="C200" i="2"/>
  <c r="D198" i="5"/>
  <c r="D200" i="2"/>
  <c r="H201" i="1"/>
  <c r="H199" i="2"/>
  <c r="H202" i="1" l="1"/>
  <c r="C201" i="2"/>
  <c r="C200" i="5"/>
  <c r="F200" i="5" s="1"/>
  <c r="E201" i="2"/>
  <c r="G201" i="2"/>
  <c r="F201" i="2"/>
  <c r="H200" i="2"/>
  <c r="D199" i="5"/>
  <c r="D201" i="2"/>
  <c r="H201" i="2" l="1"/>
  <c r="G202" i="2"/>
  <c r="C202" i="2"/>
  <c r="F202" i="2"/>
  <c r="E202" i="2"/>
  <c r="C201" i="5"/>
  <c r="D202" i="2"/>
  <c r="D200" i="5"/>
  <c r="E200" i="5"/>
  <c r="H203" i="1"/>
  <c r="H204" i="1" l="1"/>
  <c r="H202" i="2"/>
  <c r="F203" i="2"/>
  <c r="C202" i="5"/>
  <c r="G203" i="2"/>
  <c r="C203" i="2"/>
  <c r="E203" i="2"/>
  <c r="D203" i="2"/>
  <c r="D201" i="5"/>
  <c r="H205" i="1" l="1"/>
  <c r="H203" i="2"/>
  <c r="C203" i="5"/>
  <c r="E204" i="2"/>
  <c r="C204" i="2"/>
  <c r="F204" i="2"/>
  <c r="G204" i="2"/>
  <c r="D202" i="5"/>
  <c r="D204" i="2"/>
  <c r="H204" i="2" l="1"/>
  <c r="C205" i="2"/>
  <c r="F205" i="2"/>
  <c r="C204" i="5"/>
  <c r="E205" i="2"/>
  <c r="G205" i="2"/>
  <c r="D205" i="2"/>
  <c r="D203" i="5"/>
  <c r="E203" i="5"/>
  <c r="H206" i="1"/>
  <c r="D206" i="2" s="1"/>
  <c r="G251" i="1" l="1"/>
  <c r="G252" i="1" s="1"/>
  <c r="G253" i="1" s="1"/>
  <c r="G254" i="1" s="1"/>
  <c r="G255" i="1" s="1"/>
  <c r="G256" i="1" s="1"/>
  <c r="D208" i="2"/>
  <c r="H205" i="2"/>
  <c r="D204" i="5"/>
  <c r="H207" i="1"/>
  <c r="D207" i="2" s="1"/>
  <c r="G206" i="2"/>
  <c r="C206" i="2"/>
  <c r="F206" i="2"/>
  <c r="C205" i="5"/>
  <c r="D205" i="5" s="1"/>
  <c r="E206" i="2"/>
  <c r="G257" i="1" l="1"/>
  <c r="F251" i="1"/>
  <c r="F252" i="1" s="1"/>
  <c r="C207" i="5"/>
  <c r="C208" i="2"/>
  <c r="F208" i="2"/>
  <c r="G208" i="2"/>
  <c r="E208" i="2"/>
  <c r="H206" i="2"/>
  <c r="F207" i="2"/>
  <c r="E207" i="2"/>
  <c r="G207" i="2"/>
  <c r="C207" i="2"/>
  <c r="C206" i="5"/>
  <c r="G258" i="1" l="1"/>
  <c r="F253" i="1"/>
  <c r="F254" i="1" s="1"/>
  <c r="F255" i="1" s="1"/>
  <c r="F256" i="1" s="1"/>
  <c r="C208" i="5"/>
  <c r="C209" i="2"/>
  <c r="F209" i="2"/>
  <c r="E209" i="2"/>
  <c r="D210" i="2"/>
  <c r="H208" i="2"/>
  <c r="D209" i="2"/>
  <c r="D207" i="5"/>
  <c r="H207" i="2"/>
  <c r="D206" i="5"/>
  <c r="G206" i="5"/>
  <c r="E206" i="5"/>
  <c r="H206" i="5"/>
  <c r="F206" i="5"/>
  <c r="F257" i="1" l="1"/>
  <c r="G259" i="1"/>
  <c r="C209" i="5"/>
  <c r="C210" i="2"/>
  <c r="G210" i="2"/>
  <c r="F210" i="2"/>
  <c r="E210" i="2"/>
  <c r="H209" i="2"/>
  <c r="D211" i="2"/>
  <c r="D208" i="5"/>
  <c r="G260" i="1" l="1"/>
  <c r="F258" i="1"/>
  <c r="H210" i="2"/>
  <c r="C210" i="5"/>
  <c r="C211" i="2"/>
  <c r="F211" i="2"/>
  <c r="G211" i="2"/>
  <c r="E211" i="2"/>
  <c r="D209" i="5"/>
  <c r="E209" i="5"/>
  <c r="F259" i="1" l="1"/>
  <c r="G261" i="1"/>
  <c r="H211" i="2"/>
  <c r="C211" i="5"/>
  <c r="C212" i="2"/>
  <c r="G212" i="2"/>
  <c r="F212" i="2"/>
  <c r="E212" i="2"/>
  <c r="D210" i="5"/>
  <c r="D212" i="2"/>
  <c r="H213" i="1"/>
  <c r="G262" i="1" l="1"/>
  <c r="F260" i="1"/>
  <c r="C212" i="5"/>
  <c r="C213" i="2"/>
  <c r="F213" i="2"/>
  <c r="G213" i="2"/>
  <c r="E213" i="2"/>
  <c r="D213" i="2"/>
  <c r="H212" i="2"/>
  <c r="D211" i="5"/>
  <c r="F261" i="1" l="1"/>
  <c r="G263" i="1"/>
  <c r="H213" i="2"/>
  <c r="C213" i="5"/>
  <c r="C214" i="2"/>
  <c r="G214" i="2"/>
  <c r="F214" i="2"/>
  <c r="E214" i="2"/>
  <c r="D214" i="2"/>
  <c r="D212" i="5"/>
  <c r="F212" i="5"/>
  <c r="E212" i="5"/>
  <c r="G264" i="1" l="1"/>
  <c r="F262" i="1"/>
  <c r="C214" i="5"/>
  <c r="D214" i="5" s="1"/>
  <c r="C215" i="2"/>
  <c r="F215" i="2"/>
  <c r="G215" i="2"/>
  <c r="E215" i="2"/>
  <c r="H214" i="2"/>
  <c r="D215" i="2"/>
  <c r="D213" i="5"/>
  <c r="D216" i="2"/>
  <c r="F263" i="1" l="1"/>
  <c r="G265" i="1"/>
  <c r="H215" i="2"/>
  <c r="C215" i="5"/>
  <c r="C216" i="2"/>
  <c r="G216" i="2"/>
  <c r="F216" i="2"/>
  <c r="E216" i="2"/>
  <c r="D217" i="2"/>
  <c r="G266" i="1" l="1"/>
  <c r="F264" i="1"/>
  <c r="H216" i="2"/>
  <c r="D215" i="5"/>
  <c r="E215" i="5"/>
  <c r="C216" i="5"/>
  <c r="C217" i="2"/>
  <c r="F217" i="2"/>
  <c r="G217" i="2"/>
  <c r="E217" i="2"/>
  <c r="F265" i="1" l="1"/>
  <c r="G267" i="1"/>
  <c r="E251" i="1"/>
  <c r="E252" i="1" s="1"/>
  <c r="E253" i="1" s="1"/>
  <c r="E254" i="1" s="1"/>
  <c r="E255" i="1" s="1"/>
  <c r="E256" i="1" s="1"/>
  <c r="C219" i="5"/>
  <c r="H217" i="2"/>
  <c r="C217" i="5"/>
  <c r="D217" i="5" s="1"/>
  <c r="C218" i="2"/>
  <c r="G218" i="2"/>
  <c r="F218" i="2"/>
  <c r="E218" i="2"/>
  <c r="D218" i="2"/>
  <c r="D216" i="5"/>
  <c r="E257" i="1" l="1"/>
  <c r="F266" i="1"/>
  <c r="C220" i="2"/>
  <c r="F220" i="2"/>
  <c r="G220" i="2"/>
  <c r="E220" i="2"/>
  <c r="D220" i="2"/>
  <c r="C220" i="5"/>
  <c r="C218" i="5"/>
  <c r="F218" i="5" s="1"/>
  <c r="C219" i="2"/>
  <c r="F219" i="2"/>
  <c r="G219" i="2"/>
  <c r="E219" i="2"/>
  <c r="D219" i="2"/>
  <c r="H218" i="2"/>
  <c r="F267" i="1" l="1"/>
  <c r="E258" i="1"/>
  <c r="D220" i="5"/>
  <c r="D219" i="5"/>
  <c r="C221" i="2"/>
  <c r="G221" i="2"/>
  <c r="F221" i="2"/>
  <c r="E221" i="2"/>
  <c r="H220" i="2"/>
  <c r="D221" i="2"/>
  <c r="H218" i="5"/>
  <c r="H219" i="2"/>
  <c r="D218" i="5"/>
  <c r="G218" i="5"/>
  <c r="E218" i="5"/>
  <c r="E259" i="1" l="1"/>
  <c r="D222" i="2"/>
  <c r="C221" i="5"/>
  <c r="C222" i="2"/>
  <c r="F222" i="2"/>
  <c r="G222" i="2"/>
  <c r="E222" i="2"/>
  <c r="H221" i="2"/>
  <c r="C222" i="5"/>
  <c r="E260" i="1" l="1"/>
  <c r="H222" i="2"/>
  <c r="D221" i="5"/>
  <c r="E221" i="5"/>
  <c r="D222" i="5"/>
  <c r="C223" i="2"/>
  <c r="F223" i="2"/>
  <c r="G223" i="2"/>
  <c r="E223" i="2"/>
  <c r="D223" i="2"/>
  <c r="C223" i="5"/>
  <c r="D223" i="5" s="1"/>
  <c r="E261" i="1" l="1"/>
  <c r="H223" i="2"/>
  <c r="C224" i="2"/>
  <c r="F224" i="2"/>
  <c r="G224" i="2"/>
  <c r="E224" i="2"/>
  <c r="D224" i="2"/>
  <c r="C224" i="5"/>
  <c r="D224" i="5" s="1"/>
  <c r="E262" i="1" l="1"/>
  <c r="E224" i="5"/>
  <c r="F224" i="5"/>
  <c r="C225" i="2"/>
  <c r="G225" i="2"/>
  <c r="F225" i="2"/>
  <c r="E225" i="2"/>
  <c r="H224" i="2"/>
  <c r="D225" i="2"/>
  <c r="E263" i="1" l="1"/>
  <c r="H225" i="2"/>
  <c r="D226" i="2"/>
  <c r="C225" i="5"/>
  <c r="C226" i="2"/>
  <c r="F226" i="2"/>
  <c r="G226" i="2"/>
  <c r="E226" i="2"/>
  <c r="C226" i="5"/>
  <c r="E264" i="1" l="1"/>
  <c r="D226" i="5"/>
  <c r="D225" i="5"/>
  <c r="H226" i="2"/>
  <c r="C227" i="2"/>
  <c r="G227" i="2"/>
  <c r="F227" i="2"/>
  <c r="E227" i="2"/>
  <c r="D227" i="2"/>
  <c r="E265" i="1" l="1"/>
  <c r="D228" i="2"/>
  <c r="C227" i="5"/>
  <c r="C228" i="2"/>
  <c r="G228" i="2"/>
  <c r="F228" i="2"/>
  <c r="E228" i="2"/>
  <c r="H227" i="2"/>
  <c r="C228" i="5"/>
  <c r="E266" i="1" l="1"/>
  <c r="H228" i="2"/>
  <c r="D227" i="5"/>
  <c r="E227" i="5"/>
  <c r="D228" i="5"/>
  <c r="C229" i="2"/>
  <c r="F229" i="2"/>
  <c r="G229" i="2"/>
  <c r="E229" i="2"/>
  <c r="D229" i="2"/>
  <c r="C229" i="5"/>
  <c r="D229" i="5" s="1"/>
  <c r="E267" i="1" l="1"/>
  <c r="C230" i="2"/>
  <c r="G230" i="2"/>
  <c r="F230" i="2"/>
  <c r="E230" i="2"/>
  <c r="D230" i="2"/>
  <c r="H229" i="2"/>
  <c r="C231" i="5" l="1"/>
  <c r="C232" i="2"/>
  <c r="F232" i="2"/>
  <c r="G232" i="2"/>
  <c r="E232" i="2"/>
  <c r="D232" i="2"/>
  <c r="D231" i="2"/>
  <c r="C230" i="5"/>
  <c r="H230" i="2"/>
  <c r="C231" i="2"/>
  <c r="F231" i="2"/>
  <c r="G231" i="2"/>
  <c r="E231" i="2"/>
  <c r="C232" i="5" l="1"/>
  <c r="D232" i="5" s="1"/>
  <c r="C233" i="2"/>
  <c r="G233" i="2"/>
  <c r="F233" i="2"/>
  <c r="E233" i="2"/>
  <c r="D233" i="2"/>
  <c r="D231" i="5"/>
  <c r="H232" i="2"/>
  <c r="H231" i="2"/>
  <c r="D230" i="5"/>
  <c r="G230" i="5"/>
  <c r="F230" i="5"/>
  <c r="E230" i="5"/>
  <c r="H230" i="5"/>
  <c r="H233" i="2" l="1"/>
  <c r="C233" i="5"/>
  <c r="C234" i="2"/>
  <c r="G234" i="2"/>
  <c r="F234" i="2"/>
  <c r="E234" i="2"/>
  <c r="D234" i="2"/>
  <c r="D235" i="2"/>
  <c r="H234" i="2" l="1"/>
  <c r="C234" i="5"/>
  <c r="C235" i="2"/>
  <c r="G235" i="2"/>
  <c r="F235" i="2"/>
  <c r="E235" i="2"/>
  <c r="D233" i="5"/>
  <c r="E233" i="5"/>
  <c r="H235" i="2" l="1"/>
  <c r="D234" i="5"/>
  <c r="C235" i="5"/>
  <c r="C236" i="2"/>
  <c r="G236" i="2"/>
  <c r="F236" i="2"/>
  <c r="E236" i="2"/>
  <c r="D236" i="2"/>
  <c r="C236" i="5" l="1"/>
  <c r="D236" i="5" s="1"/>
  <c r="C237" i="2"/>
  <c r="G237" i="2"/>
  <c r="F237" i="2"/>
  <c r="E237" i="2"/>
  <c r="H236" i="2"/>
  <c r="D237" i="2"/>
  <c r="D235" i="5"/>
  <c r="D238" i="2"/>
  <c r="F236" i="5" l="1"/>
  <c r="E236" i="5"/>
  <c r="H237" i="2"/>
  <c r="C237" i="5"/>
  <c r="C238" i="2"/>
  <c r="G238" i="2"/>
  <c r="F238" i="2"/>
  <c r="E238" i="2"/>
  <c r="H238" i="2" l="1"/>
  <c r="C238" i="5"/>
  <c r="D238" i="5" s="1"/>
  <c r="C239" i="2"/>
  <c r="G239" i="2"/>
  <c r="F239" i="2"/>
  <c r="E239" i="2"/>
  <c r="D237" i="5"/>
  <c r="D239" i="2"/>
  <c r="D240" i="2"/>
  <c r="H239" i="2" l="1"/>
  <c r="C239" i="5"/>
  <c r="C240" i="2"/>
  <c r="G240" i="2"/>
  <c r="F240" i="2"/>
  <c r="E240" i="2"/>
  <c r="H240" i="2" l="1"/>
  <c r="D239" i="5"/>
  <c r="E239" i="5"/>
  <c r="C240" i="5"/>
  <c r="C241" i="2"/>
  <c r="G241" i="2"/>
  <c r="F241" i="2"/>
  <c r="E241" i="2"/>
  <c r="D241" i="2"/>
  <c r="H241" i="2" l="1"/>
  <c r="C241" i="5"/>
  <c r="C242" i="2"/>
  <c r="G242" i="2"/>
  <c r="F242" i="2"/>
  <c r="E242" i="2"/>
  <c r="D243" i="2"/>
  <c r="D242" i="2"/>
  <c r="D240" i="5"/>
  <c r="F245" i="2" l="1"/>
  <c r="C244" i="5"/>
  <c r="E245" i="2"/>
  <c r="D245" i="2"/>
  <c r="G245" i="2"/>
  <c r="C245" i="2"/>
  <c r="C242" i="5"/>
  <c r="F242" i="5" s="1"/>
  <c r="C243" i="2"/>
  <c r="F243" i="2"/>
  <c r="G243" i="2"/>
  <c r="E243" i="2"/>
  <c r="H242" i="2"/>
  <c r="D241" i="5"/>
  <c r="H245" i="2" l="1"/>
  <c r="D246" i="2"/>
  <c r="C245" i="5"/>
  <c r="D245" i="5" s="1"/>
  <c r="E246" i="2"/>
  <c r="G246" i="2"/>
  <c r="F246" i="2"/>
  <c r="C246" i="2"/>
  <c r="H242" i="5"/>
  <c r="H243" i="2"/>
  <c r="D242" i="5"/>
  <c r="G242" i="5"/>
  <c r="E242" i="5"/>
  <c r="H246" i="2" l="1"/>
  <c r="C247" i="5"/>
  <c r="G248" i="2"/>
  <c r="F248" i="2"/>
  <c r="E248" i="2"/>
  <c r="D248" i="2"/>
  <c r="C248" i="2"/>
  <c r="G247" i="2"/>
  <c r="F247" i="2"/>
  <c r="E247" i="2"/>
  <c r="D247" i="2"/>
  <c r="C246" i="5"/>
  <c r="C247" i="2"/>
  <c r="G244" i="2"/>
  <c r="D244" i="2"/>
  <c r="F244" i="2"/>
  <c r="C243" i="5"/>
  <c r="E244" i="2"/>
  <c r="C244" i="2"/>
  <c r="D251" i="1"/>
  <c r="C250" i="2" l="1"/>
  <c r="D247" i="5"/>
  <c r="D243" i="5"/>
  <c r="E245" i="5"/>
  <c r="D244" i="5"/>
  <c r="H248" i="2"/>
  <c r="C248" i="5"/>
  <c r="D248" i="5" s="1"/>
  <c r="E249" i="2"/>
  <c r="F249" i="2"/>
  <c r="G249" i="2"/>
  <c r="D249" i="2"/>
  <c r="C249" i="2"/>
  <c r="H247" i="2"/>
  <c r="D246" i="5"/>
  <c r="H244" i="2"/>
  <c r="D252" i="1"/>
  <c r="H251" i="1"/>
  <c r="C249" i="5" l="1"/>
  <c r="D249" i="5" s="1"/>
  <c r="G250" i="2"/>
  <c r="D250" i="2"/>
  <c r="F250" i="2"/>
  <c r="E250" i="2"/>
  <c r="H249" i="2"/>
  <c r="F248" i="5"/>
  <c r="E248" i="5"/>
  <c r="G251" i="2"/>
  <c r="D251" i="2"/>
  <c r="F251" i="2"/>
  <c r="C250" i="5"/>
  <c r="E251" i="2"/>
  <c r="C251" i="2"/>
  <c r="D253" i="1"/>
  <c r="H252" i="1"/>
  <c r="D250" i="5" l="1"/>
  <c r="H250" i="2"/>
  <c r="H251" i="2"/>
  <c r="F252" i="2"/>
  <c r="E252" i="2"/>
  <c r="D252" i="2"/>
  <c r="G252" i="2"/>
  <c r="C251" i="5"/>
  <c r="C252" i="2"/>
  <c r="D254" i="1"/>
  <c r="H253" i="1"/>
  <c r="H252" i="2" l="1"/>
  <c r="D251" i="5"/>
  <c r="E251" i="5"/>
  <c r="C252" i="5"/>
  <c r="F253" i="2"/>
  <c r="G253" i="2"/>
  <c r="E253" i="2"/>
  <c r="D253" i="2"/>
  <c r="C253" i="2"/>
  <c r="D255" i="1"/>
  <c r="H254" i="1"/>
  <c r="H255" i="1" l="1"/>
  <c r="F255" i="2" s="1"/>
  <c r="D256" i="1"/>
  <c r="D252" i="5"/>
  <c r="D254" i="2"/>
  <c r="C253" i="5"/>
  <c r="G254" i="2"/>
  <c r="E254" i="2"/>
  <c r="F254" i="2"/>
  <c r="C254" i="2"/>
  <c r="H253" i="2"/>
  <c r="C255" i="2" l="1"/>
  <c r="E255" i="2"/>
  <c r="D255" i="2"/>
  <c r="C254" i="5"/>
  <c r="F254" i="5" s="1"/>
  <c r="G255" i="2"/>
  <c r="D257" i="1"/>
  <c r="H256" i="1"/>
  <c r="D253" i="5"/>
  <c r="H254" i="2"/>
  <c r="H254" i="5" l="1"/>
  <c r="G254" i="5"/>
  <c r="E254" i="5"/>
  <c r="D254" i="5"/>
  <c r="H255" i="2"/>
  <c r="C255" i="5"/>
  <c r="C256" i="2"/>
  <c r="G256" i="2"/>
  <c r="F256" i="2"/>
  <c r="E256" i="2"/>
  <c r="D256" i="2"/>
  <c r="D258" i="1"/>
  <c r="H257" i="1"/>
  <c r="C256" i="5" l="1"/>
  <c r="C257" i="2"/>
  <c r="G257" i="2"/>
  <c r="F257" i="2"/>
  <c r="E257" i="2"/>
  <c r="H256" i="2"/>
  <c r="D255" i="5"/>
  <c r="D257" i="2"/>
  <c r="D259" i="1"/>
  <c r="H258" i="1"/>
  <c r="C257" i="5" l="1"/>
  <c r="E257" i="5" s="1"/>
  <c r="C258" i="2"/>
  <c r="G258" i="2"/>
  <c r="F258" i="2"/>
  <c r="E258" i="2"/>
  <c r="D258" i="2"/>
  <c r="H257" i="2"/>
  <c r="D256" i="5"/>
  <c r="D260" i="1"/>
  <c r="H259" i="1"/>
  <c r="D257" i="5" l="1"/>
  <c r="C258" i="5"/>
  <c r="C259" i="2"/>
  <c r="G259" i="2"/>
  <c r="F259" i="2"/>
  <c r="E259" i="2"/>
  <c r="H258" i="2"/>
  <c r="D259" i="2"/>
  <c r="D261" i="1"/>
  <c r="H260" i="1"/>
  <c r="C259" i="5" l="1"/>
  <c r="D259" i="5" s="1"/>
  <c r="C260" i="2"/>
  <c r="G260" i="2"/>
  <c r="F260" i="2"/>
  <c r="E260" i="2"/>
  <c r="H259" i="2"/>
  <c r="D258" i="5"/>
  <c r="D260" i="2"/>
  <c r="D262" i="1"/>
  <c r="H261" i="1"/>
  <c r="D261" i="2" s="1"/>
  <c r="H260" i="2" l="1"/>
  <c r="C260" i="5"/>
  <c r="C261" i="2"/>
  <c r="G261" i="2"/>
  <c r="F261" i="2"/>
  <c r="E261" i="2"/>
  <c r="D263" i="1"/>
  <c r="H262" i="1"/>
  <c r="C261" i="5" l="1"/>
  <c r="C262" i="2"/>
  <c r="G262" i="2"/>
  <c r="F262" i="2"/>
  <c r="E262" i="2"/>
  <c r="H261" i="2"/>
  <c r="D260" i="5"/>
  <c r="F260" i="5"/>
  <c r="E260" i="5"/>
  <c r="D262" i="2"/>
  <c r="D264" i="1"/>
  <c r="H263" i="1"/>
  <c r="C262" i="5" l="1"/>
  <c r="C263" i="2"/>
  <c r="G263" i="2"/>
  <c r="F263" i="2"/>
  <c r="E263" i="2"/>
  <c r="D263" i="2"/>
  <c r="H262" i="2"/>
  <c r="D261" i="5"/>
  <c r="D265" i="1"/>
  <c r="H264" i="1"/>
  <c r="C263" i="5" l="1"/>
  <c r="C264" i="2"/>
  <c r="G264" i="2"/>
  <c r="F264" i="2"/>
  <c r="E264" i="2"/>
  <c r="H263" i="2"/>
  <c r="D264" i="2"/>
  <c r="D262" i="5"/>
  <c r="D266" i="1"/>
  <c r="H265" i="1"/>
  <c r="D265" i="2" s="1"/>
  <c r="H264" i="2" l="1"/>
  <c r="C264" i="5"/>
  <c r="C265" i="2"/>
  <c r="G265" i="2"/>
  <c r="F265" i="2"/>
  <c r="E265" i="2"/>
  <c r="D263" i="5"/>
  <c r="E263" i="5"/>
  <c r="D267" i="1"/>
  <c r="H266" i="1"/>
  <c r="C265" i="5" l="1"/>
  <c r="D265" i="5" s="1"/>
  <c r="C266" i="2"/>
  <c r="G266" i="2"/>
  <c r="F266" i="2"/>
  <c r="E266" i="2"/>
  <c r="H265" i="2"/>
  <c r="H267" i="1"/>
  <c r="D267" i="2" s="1"/>
  <c r="D264" i="5"/>
  <c r="D266" i="2"/>
  <c r="C266" i="5" l="1"/>
  <c r="F266" i="5" s="1"/>
  <c r="C267" i="2"/>
  <c r="G267" i="2"/>
  <c r="F267" i="2"/>
  <c r="E267" i="2"/>
  <c r="H266" i="2"/>
  <c r="H267" i="2" l="1"/>
  <c r="D266" i="5"/>
  <c r="G266" i="5"/>
  <c r="H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00000000-0006-0000-0300-000001000000}">
      <text>
        <r>
          <rPr>
            <sz val="8"/>
            <color indexed="81"/>
            <rFont val="Tahoma"/>
            <family val="2"/>
          </rPr>
          <t>Dette indeks skal dække omkostninger til reparation og vedligeholdelse</t>
        </r>
      </text>
    </comment>
    <comment ref="A10"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<sst xmlns="http://schemas.openxmlformats.org/spreadsheetml/2006/main" count="993" uniqueCount="92">
  <si>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</si>
  <si>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</si>
  <si>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</si>
  <si>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</si>
  <si>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</si>
  <si>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</si>
  <si>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</si>
  <si>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</si>
  <si>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</si>
  <si>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</si>
  <si>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</si>
  <si>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</si>
  <si>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</si>
  <si>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</si>
  <si>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</si>
  <si>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</si>
  <si>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</si>
  <si>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</si>
  <si>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</si>
  <si>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</si>
  <si>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</si>
  <si>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</si>
  <si>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</si>
  <si>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</si>
  <si>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</si>
  <si>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</si>
  <si>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</si>
  <si>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</si>
  <si>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</si>
  <si>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</si>
  <si>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</si>
  <si>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</si>
  <si>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</si>
  <si>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</si>
  <si>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</si>
  <si>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</si>
  <si>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</si>
  <si>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</si>
  <si>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</si>
  <si>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</si>
  <si>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</si>
  <si>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</si>
  <si>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</si>
  <si>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</si>
  <si>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</si>
  <si>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</si>
  <si>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</si>
  <si>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</si>
  <si>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</si>
  <si>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</si>
  <si>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</si>
  <si>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</si>
  <si>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</si>
  <si>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</si>
  <si>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</si>
  <si>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</si>
  <si>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</si>
  <si>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</si>
  <si>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</si>
  <si>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</si>
  <si>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</si>
  <si>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</si>
  <si>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</si>
  <si>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</si>
  <si>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</si>
  <si>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</si>
  <si>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</si>
  <si>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</si>
  <si>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t>.</t>
  </si>
  <si>
    <t>Note 5</t>
  </si>
  <si>
    <t>Note 5:</t>
  </si>
  <si>
    <t>Udgået PRIS6 ultimo 2015 ændres til PRIS111 iht. Danmark Statistik</t>
  </si>
  <si>
    <t>Pris6  udgår og offentliggøres sidste gang december 2015 men ændres til PRIS111 primo 2016 iht. skrivelse fra Danmark Statistik</t>
  </si>
  <si>
    <t>El</t>
  </si>
  <si>
    <r>
      <rPr>
        <b/>
        <sz val="10"/>
        <rFont val="Arial"/>
        <family val="2"/>
      </rPr>
      <t xml:space="preserve">Indkomst, forbrug og priser: </t>
    </r>
    <r>
      <rPr>
        <sz val="10"/>
        <rFont val="Arial"/>
        <family val="2"/>
      </rPr>
      <t>Nettoprisindeks .. PRIS114: Forbrugerprisindeks - 04.5.1 Elektricitet</t>
    </r>
  </si>
  <si>
    <r>
      <rPr>
        <b/>
        <sz val="10"/>
        <rFont val="Arial"/>
        <family val="2"/>
      </rPr>
      <t>Indkomst, forbrug og priser:</t>
    </r>
    <r>
      <rPr>
        <sz val="10"/>
        <rFont val="Arial"/>
        <family val="2"/>
      </rPr>
      <t xml:space="preserve"> Prisindeks .. PRIS111: Forbrugerprisindeks - 00. I ALT - oprindelig PRIS 6; - derfor multipliceres med (131/98,3)</t>
    </r>
  </si>
  <si>
    <t>Note 4a:</t>
  </si>
  <si>
    <t>Note 4b:</t>
  </si>
  <si>
    <t>Pris11.87 erstattes fra 1.3.2019 af PRIS1115.87. Indeksbasisåret er skiftet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</si>
  <si>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theme="4"/>
        <rFont val="Arial"/>
        <family val="2"/>
      </rPr>
      <t>Erstattes 1.3.2019 af PRIS1115.87 I ALT. Indeksbasisåret er skiftet fra 2010=100 til 2015=100.</t>
    </r>
  </si>
  <si>
    <r>
      <rPr>
        <b/>
        <sz val="9"/>
        <rFont val="Arial"/>
        <family val="2"/>
      </rPr>
      <t>UDGÅR</t>
    </r>
    <r>
      <rPr>
        <b/>
        <sz val="10"/>
        <rFont val="Arial"/>
        <family val="2"/>
      </rPr>
      <t xml:space="preserve">: Penge og kapitalmarked: </t>
    </r>
    <r>
      <rPr>
        <sz val="10"/>
        <rFont val="Arial"/>
        <family val="2"/>
      </rPr>
      <t xml:space="preserve">Rente- og kursudvikling .. MPK3: Samtlige serier (Obligationsrentegennemsnit)
</t>
    </r>
    <r>
      <rPr>
        <b/>
        <sz val="9"/>
        <rFont val="Arial"/>
        <family val="2"/>
      </rPr>
      <t>Ændres ti</t>
    </r>
    <r>
      <rPr>
        <b/>
        <sz val="10"/>
        <rFont val="Arial"/>
        <family val="2"/>
      </rPr>
      <t>l</t>
    </r>
    <r>
      <rPr>
        <sz val="10"/>
        <rFont val="Arial"/>
        <family val="2"/>
      </rPr>
      <t xml:space="preserve">: fra 2021 hentes renten fra Nasdaq, Average Bond Yield, rentegennemsnit (nasdaqomxnordic.com)
</t>
    </r>
  </si>
  <si>
    <t>Note 6:</t>
  </si>
  <si>
    <t>Note 6</t>
  </si>
  <si>
    <t>Note 4c</t>
  </si>
  <si>
    <t>PRIS1115.87 I ALT erstattes fra 1.3.2025 af PRIS1121.87 I ALT. Indeksbasisåret er skiftet fra 2015=100 til 2021=100</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</si>
  <si>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</si>
  <si>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Løn(SBLON Vest)</t>
  </si>
  <si>
    <t>Note 4c og Note 7</t>
  </si>
  <si>
    <t>Note 7:</t>
  </si>
  <si>
    <t>ILON12 erstattes med SBLON1</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</si>
  <si>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
Fra marts 2025 ændret til SBLON1, med afregning fra 3. kvt. 2025</t>
    </r>
  </si>
  <si>
    <t>Løn
(SBLON Vest)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</si>
</sst>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_);_(* \(#,##0.00\);_(* &quot;-&quot;??_);_(@_)"/>
    <numFmt numFmtId="166" formatCode="0.0"/>
    <numFmt numFmtId="167" formatCode="0.0%"/>
    <numFmt numFmtId="168" formatCode="#,##0.0_ ;\-#,##0.0\ "/>
    <numFmt numFmtId="169" formatCode="_ * #,##0.0_ ;_ * \-#,##0.0_ ;_ * &quot;-&quot;??_ ;_ @_ "/>
  </numFmts>
  <fonts count="33" x14ac:knownFonts="1">
    <font>
      <sz val="10"/>
      <name val="Arial"/>
    </font>
    <font>
      <sz val="11"/>
      <color theme="1"/>
      <name val="Calibri"/>
      <family val="2"/>
      <scheme val="minor"/>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i/>
      <sz val="1"/>
      <name val="Arial"/>
      <family val="2"/>
    </font>
    <font>
      <sz val="11"/>
      <color theme="1"/>
      <name val="Calibri"/>
      <family val="2"/>
      <scheme val="minor"/>
    </font>
    <font>
      <u/>
      <sz val="11"/>
      <color theme="10"/>
      <name val="Calibri"/>
      <family val="2"/>
      <scheme val="minor"/>
    </font>
    <font>
      <sz val="11"/>
      <color rgb="FF000000"/>
      <name val="Calibri"/>
      <family val="2"/>
    </font>
    <font>
      <sz val="10"/>
      <color theme="4"/>
      <name val="Arial"/>
      <family val="2"/>
    </font>
    <font>
      <i/>
      <sz val="12"/>
      <name val="Arial"/>
      <family val="2"/>
    </font>
    <font>
      <b/>
      <sz val="9"/>
      <name val="Arial"/>
      <family val="2"/>
    </font>
    <font>
      <sz val="10"/>
      <color rgb="FFFFFF00"/>
      <name val="Arial"/>
      <family val="2"/>
    </font>
    <font>
      <i/>
      <sz val="12"/>
      <name val="Arial"/>
      <family val="2"/>
    </font>
    <font>
      <sz val="1"/>
      <name val="Arial"/>
      <family val="2"/>
    </font>
    <font>
      <sz val="8"/>
      <color theme="1"/>
      <name val="Arial"/>
      <family val="2"/>
    </font>
  </fonts>
  <fills count="12">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lightDown">
        <fgColor rgb="FFFF0000"/>
        <bgColor theme="0"/>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2" fillId="0" borderId="0" applyFont="0" applyFill="0" applyBorder="0" applyAlignment="0" applyProtection="0"/>
    <xf numFmtId="165" fontId="15" fillId="0" borderId="0" applyFon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alignment vertical="top"/>
      <protection locked="0"/>
    </xf>
    <xf numFmtId="0" fontId="23" fillId="0" borderId="0"/>
    <xf numFmtId="0" fontId="2" fillId="0" borderId="0"/>
    <xf numFmtId="165" fontId="2" fillId="0" borderId="0" applyFont="0" applyFill="0" applyBorder="0" applyAlignment="0" applyProtection="0"/>
    <xf numFmtId="0" fontId="1" fillId="0" borderId="0"/>
    <xf numFmtId="0" fontId="25" fillId="0" borderId="0" applyNumberFormat="0" applyBorder="0" applyAlignment="0"/>
  </cellStyleXfs>
  <cellXfs count="212">
    <xf numFmtId="0" fontId="0" fillId="0" borderId="0" xfId="0"/>
    <xf numFmtId="0" fontId="3" fillId="0" borderId="0" xfId="0" applyFont="1"/>
    <xf numFmtId="0" fontId="4" fillId="0" borderId="0" xfId="0" applyFont="1"/>
    <xf numFmtId="9" fontId="4" fillId="0" borderId="0" xfId="0" applyNumberFormat="1" applyFont="1"/>
    <xf numFmtId="165" fontId="0" fillId="0" borderId="0" xfId="0" applyNumberFormat="1"/>
    <xf numFmtId="9" fontId="0" fillId="0" borderId="0" xfId="0" applyNumberFormat="1"/>
    <xf numFmtId="0" fontId="8" fillId="0" borderId="0" xfId="0" applyFont="1"/>
    <xf numFmtId="0" fontId="7" fillId="0" borderId="0" xfId="0" applyFont="1"/>
    <xf numFmtId="166" fontId="4" fillId="0" borderId="0" xfId="0" applyNumberFormat="1" applyFont="1"/>
    <xf numFmtId="2" fontId="4" fillId="0" borderId="0" xfId="0" applyNumberFormat="1" applyFont="1"/>
    <xf numFmtId="165" fontId="4" fillId="0" borderId="0" xfId="0" applyNumberFormat="1" applyFont="1"/>
    <xf numFmtId="0" fontId="9" fillId="0" borderId="0" xfId="0" applyFont="1"/>
    <xf numFmtId="166" fontId="0" fillId="0" borderId="0" xfId="0" applyNumberFormat="1"/>
    <xf numFmtId="0" fontId="9"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9"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7" fillId="0" borderId="2" xfId="0" applyFont="1" applyBorder="1"/>
    <xf numFmtId="2" fontId="0" fillId="0" borderId="2" xfId="0" applyNumberFormat="1" applyBorder="1"/>
    <xf numFmtId="166" fontId="7" fillId="0" borderId="2" xfId="0" applyNumberFormat="1" applyFont="1" applyBorder="1"/>
    <xf numFmtId="0" fontId="11" fillId="0" borderId="0" xfId="0" applyFont="1" applyAlignment="1">
      <alignment horizontal="center"/>
    </xf>
    <xf numFmtId="0" fontId="4" fillId="0" borderId="0" xfId="0" applyFont="1" applyAlignment="1">
      <alignment horizontal="left"/>
    </xf>
    <xf numFmtId="0" fontId="13" fillId="0" borderId="0" xfId="0" applyFont="1"/>
    <xf numFmtId="164" fontId="7" fillId="0" borderId="0" xfId="0" applyNumberFormat="1" applyFont="1"/>
    <xf numFmtId="164" fontId="10" fillId="0" borderId="0" xfId="0" applyNumberFormat="1" applyFont="1"/>
    <xf numFmtId="0" fontId="9"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7"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8" fillId="0" borderId="0" xfId="0" applyFont="1" applyAlignment="1">
      <alignment horizontal="left"/>
    </xf>
    <xf numFmtId="166" fontId="11" fillId="0" borderId="0" xfId="1" applyNumberFormat="1" applyFont="1" applyBorder="1" applyAlignment="1">
      <alignment horizontal="center"/>
    </xf>
    <xf numFmtId="166" fontId="12" fillId="0" borderId="0" xfId="1" applyNumberFormat="1" applyFont="1" applyBorder="1" applyAlignment="1">
      <alignment horizontal="center"/>
    </xf>
    <xf numFmtId="166" fontId="12" fillId="0" borderId="1" xfId="1" applyNumberFormat="1" applyFont="1" applyBorder="1" applyAlignment="1">
      <alignment horizontal="center"/>
    </xf>
    <xf numFmtId="166" fontId="12" fillId="0" borderId="2" xfId="1" applyNumberFormat="1" applyFont="1" applyBorder="1" applyAlignment="1">
      <alignment horizontal="center"/>
    </xf>
    <xf numFmtId="166" fontId="12" fillId="0" borderId="3" xfId="1" applyNumberFormat="1" applyFont="1" applyBorder="1" applyAlignment="1">
      <alignment horizontal="center"/>
    </xf>
    <xf numFmtId="166" fontId="12" fillId="0" borderId="0" xfId="1" applyNumberFormat="1" applyFont="1" applyFill="1" applyBorder="1" applyAlignment="1">
      <alignment horizontal="center"/>
    </xf>
    <xf numFmtId="0" fontId="4"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10" fillId="0" borderId="0" xfId="0" applyNumberFormat="1" applyFont="1"/>
    <xf numFmtId="166" fontId="12" fillId="0" borderId="0" xfId="0" applyNumberFormat="1" applyFont="1" applyAlignment="1">
      <alignment horizontal="center"/>
    </xf>
    <xf numFmtId="166" fontId="12" fillId="0" borderId="2" xfId="0" applyNumberFormat="1" applyFont="1" applyBorder="1" applyAlignment="1">
      <alignment horizontal="center"/>
    </xf>
    <xf numFmtId="166" fontId="7" fillId="0" borderId="0" xfId="0" applyNumberFormat="1" applyFont="1"/>
    <xf numFmtId="2" fontId="0" fillId="0" borderId="3" xfId="0" applyNumberFormat="1" applyBorder="1"/>
    <xf numFmtId="2" fontId="8" fillId="0" borderId="0" xfId="0" applyNumberFormat="1" applyFont="1"/>
    <xf numFmtId="0" fontId="11"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4" fillId="0" borderId="0" xfId="0" applyNumberFormat="1" applyFont="1"/>
    <xf numFmtId="167" fontId="7" fillId="0" borderId="1" xfId="0" applyNumberFormat="1" applyFont="1" applyBorder="1"/>
    <xf numFmtId="165" fontId="12" fillId="0" borderId="0" xfId="1" applyFont="1" applyBorder="1" applyAlignment="1">
      <alignment horizontal="center"/>
    </xf>
    <xf numFmtId="165" fontId="12" fillId="0" borderId="1" xfId="1" applyFont="1" applyBorder="1" applyAlignment="1">
      <alignment horizontal="center"/>
    </xf>
    <xf numFmtId="165" fontId="12" fillId="0" borderId="2" xfId="1" applyFont="1" applyBorder="1" applyAlignment="1">
      <alignment horizontal="center"/>
    </xf>
    <xf numFmtId="165" fontId="12" fillId="0" borderId="3" xfId="1" applyFont="1" applyBorder="1" applyAlignment="1">
      <alignment horizontal="center"/>
    </xf>
    <xf numFmtId="2" fontId="8" fillId="3" borderId="0" xfId="0" applyNumberFormat="1" applyFont="1" applyFill="1"/>
    <xf numFmtId="2" fontId="8" fillId="3" borderId="1" xfId="0" applyNumberFormat="1" applyFont="1" applyFill="1" applyBorder="1"/>
    <xf numFmtId="0" fontId="14" fillId="3" borderId="0" xfId="0" applyFont="1" applyFill="1"/>
    <xf numFmtId="0" fontId="4" fillId="0" borderId="0" xfId="0" applyFont="1" applyAlignment="1">
      <alignment horizontal="right"/>
    </xf>
    <xf numFmtId="10" fontId="7"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7" fontId="7" fillId="3" borderId="1" xfId="0" applyNumberFormat="1" applyFont="1" applyFill="1" applyBorder="1"/>
    <xf numFmtId="165" fontId="12" fillId="0" borderId="0" xfId="1" applyFont="1" applyFill="1" applyBorder="1" applyAlignment="1">
      <alignment horizontal="center"/>
    </xf>
    <xf numFmtId="166" fontId="11" fillId="0" borderId="0" xfId="1" applyNumberFormat="1" applyFont="1" applyFill="1" applyBorder="1" applyAlignment="1">
      <alignment horizontal="center"/>
    </xf>
    <xf numFmtId="0" fontId="7" fillId="0" borderId="0" xfId="0" applyFont="1" applyAlignment="1">
      <alignment horizontal="center"/>
    </xf>
    <xf numFmtId="167" fontId="4" fillId="0" borderId="0" xfId="0" applyNumberFormat="1" applyFont="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horizontal="center"/>
    </xf>
    <xf numFmtId="2" fontId="7" fillId="0" borderId="1" xfId="0" applyNumberFormat="1" applyFont="1" applyBorder="1" applyAlignment="1">
      <alignment horizontal="center"/>
    </xf>
    <xf numFmtId="0" fontId="4" fillId="0" borderId="2" xfId="0" applyFont="1" applyBorder="1"/>
    <xf numFmtId="167" fontId="7"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7" fillId="0" borderId="3" xfId="0" applyNumberFormat="1" applyFont="1" applyBorder="1"/>
    <xf numFmtId="2" fontId="7" fillId="0" borderId="3" xfId="0" applyNumberFormat="1" applyFont="1" applyBorder="1"/>
    <xf numFmtId="166" fontId="12" fillId="0" borderId="3" xfId="0" applyNumberFormat="1" applyFont="1" applyBorder="1" applyAlignment="1">
      <alignment horizontal="center"/>
    </xf>
    <xf numFmtId="167" fontId="7" fillId="0" borderId="3" xfId="0" applyNumberFormat="1" applyFont="1" applyBorder="1"/>
    <xf numFmtId="166" fontId="7" fillId="0" borderId="1" xfId="0" applyNumberFormat="1" applyFont="1" applyBorder="1"/>
    <xf numFmtId="166" fontId="7" fillId="0" borderId="4" xfId="0" applyNumberFormat="1" applyFont="1" applyBorder="1"/>
    <xf numFmtId="2" fontId="7" fillId="0" borderId="0" xfId="0" applyNumberFormat="1" applyFont="1"/>
    <xf numFmtId="2" fontId="7" fillId="0" borderId="1" xfId="0" applyNumberFormat="1" applyFont="1" applyBorder="1"/>
    <xf numFmtId="2" fontId="7" fillId="0" borderId="2" xfId="0" applyNumberFormat="1" applyFont="1" applyBorder="1"/>
    <xf numFmtId="167" fontId="7" fillId="0" borderId="0" xfId="0" applyNumberFormat="1" applyFont="1"/>
    <xf numFmtId="166" fontId="12" fillId="0" borderId="1" xfId="1" applyNumberFormat="1" applyFont="1" applyFill="1" applyBorder="1" applyAlignment="1">
      <alignment horizontal="center"/>
    </xf>
    <xf numFmtId="166" fontId="12" fillId="0" borderId="2" xfId="1" applyNumberFormat="1" applyFont="1" applyFill="1" applyBorder="1" applyAlignment="1">
      <alignment horizontal="center"/>
    </xf>
    <xf numFmtId="167" fontId="7" fillId="0" borderId="2" xfId="0" applyNumberFormat="1" applyFont="1" applyBorder="1"/>
    <xf numFmtId="0" fontId="0" fillId="0" borderId="0" xfId="0" applyAlignment="1">
      <alignment vertical="top"/>
    </xf>
    <xf numFmtId="167" fontId="7" fillId="0" borderId="4" xfId="0" applyNumberFormat="1" applyFont="1" applyBorder="1"/>
    <xf numFmtId="166" fontId="2" fillId="0" borderId="0" xfId="0" applyNumberFormat="1" applyFont="1"/>
    <xf numFmtId="2" fontId="2" fillId="0" borderId="2" xfId="0" applyNumberFormat="1" applyFont="1" applyBorder="1"/>
    <xf numFmtId="2" fontId="2" fillId="0" borderId="0" xfId="0" applyNumberFormat="1" applyFont="1"/>
    <xf numFmtId="166" fontId="2" fillId="0" borderId="1" xfId="0" applyNumberFormat="1" applyFont="1" applyBorder="1"/>
    <xf numFmtId="2" fontId="2" fillId="0" borderId="1" xfId="0" applyNumberFormat="1" applyFont="1" applyBorder="1"/>
    <xf numFmtId="166" fontId="2" fillId="0" borderId="3" xfId="0" applyNumberFormat="1" applyFont="1" applyBorder="1"/>
    <xf numFmtId="2" fontId="2" fillId="0" borderId="3" xfId="0" applyNumberFormat="1" applyFont="1" applyBorder="1"/>
    <xf numFmtId="166" fontId="16" fillId="0" borderId="0" xfId="1" applyNumberFormat="1" applyFont="1" applyFill="1" applyBorder="1" applyAlignment="1">
      <alignment horizontal="center"/>
    </xf>
    <xf numFmtId="166" fontId="16" fillId="0" borderId="1" xfId="1" applyNumberFormat="1" applyFont="1" applyFill="1" applyBorder="1" applyAlignment="1">
      <alignment horizontal="center"/>
    </xf>
    <xf numFmtId="166" fontId="16" fillId="0" borderId="2" xfId="1" applyNumberFormat="1" applyFont="1" applyFill="1" applyBorder="1" applyAlignment="1">
      <alignment horizontal="center"/>
    </xf>
    <xf numFmtId="166" fontId="16" fillId="0" borderId="0" xfId="0" applyNumberFormat="1" applyFont="1" applyAlignment="1">
      <alignment horizontal="center"/>
    </xf>
    <xf numFmtId="166" fontId="16" fillId="0" borderId="2" xfId="0" applyNumberFormat="1" applyFont="1" applyBorder="1" applyAlignment="1">
      <alignment horizontal="center"/>
    </xf>
    <xf numFmtId="166" fontId="16" fillId="0" borderId="3" xfId="0" applyNumberFormat="1" applyFont="1" applyBorder="1" applyAlignment="1">
      <alignment horizontal="center"/>
    </xf>
    <xf numFmtId="2" fontId="8" fillId="3" borderId="2" xfId="0" applyNumberFormat="1" applyFont="1" applyFill="1" applyBorder="1"/>
    <xf numFmtId="166" fontId="8" fillId="3" borderId="0" xfId="0" applyNumberFormat="1" applyFont="1" applyFill="1"/>
    <xf numFmtId="166" fontId="8" fillId="3" borderId="1" xfId="0" applyNumberFormat="1" applyFont="1" applyFill="1" applyBorder="1"/>
    <xf numFmtId="166" fontId="8" fillId="3" borderId="2" xfId="0" applyNumberFormat="1" applyFont="1" applyFill="1" applyBorder="1"/>
    <xf numFmtId="166" fontId="2" fillId="4" borderId="0" xfId="0" applyNumberFormat="1" applyFont="1" applyFill="1"/>
    <xf numFmtId="166" fontId="12" fillId="4" borderId="0" xfId="1" applyNumberFormat="1" applyFont="1" applyFill="1" applyBorder="1" applyAlignment="1">
      <alignment horizontal="center"/>
    </xf>
    <xf numFmtId="167" fontId="2" fillId="3" borderId="0" xfId="0" applyNumberFormat="1" applyFont="1" applyFill="1"/>
    <xf numFmtId="0" fontId="2" fillId="4" borderId="0" xfId="0" applyFont="1" applyFill="1"/>
    <xf numFmtId="167" fontId="2" fillId="0" borderId="2" xfId="0" applyNumberFormat="1" applyFont="1" applyBorder="1"/>
    <xf numFmtId="166" fontId="12" fillId="0" borderId="1" xfId="0" applyNumberFormat="1" applyFont="1" applyBorder="1" applyAlignment="1">
      <alignment horizontal="center"/>
    </xf>
    <xf numFmtId="166" fontId="2" fillId="4" borderId="1" xfId="0" applyNumberFormat="1" applyFont="1" applyFill="1" applyBorder="1"/>
    <xf numFmtId="0" fontId="4" fillId="0" borderId="3" xfId="0" applyFont="1" applyBorder="1" applyAlignment="1">
      <alignment horizontal="left"/>
    </xf>
    <xf numFmtId="0" fontId="11" fillId="0" borderId="3" xfId="0" applyFont="1" applyBorder="1" applyAlignment="1">
      <alignment horizontal="center"/>
    </xf>
    <xf numFmtId="0" fontId="4" fillId="0" borderId="3" xfId="0" applyFont="1" applyBorder="1"/>
    <xf numFmtId="0" fontId="2" fillId="0" borderId="0" xfId="0" applyFont="1" applyAlignment="1">
      <alignment wrapText="1"/>
    </xf>
    <xf numFmtId="0" fontId="2"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69" fontId="0" fillId="0" borderId="5" xfId="1" applyNumberFormat="1" applyFont="1" applyBorder="1"/>
    <xf numFmtId="0" fontId="4" fillId="0" borderId="5" xfId="0" applyFont="1" applyBorder="1"/>
    <xf numFmtId="166" fontId="7" fillId="4" borderId="1" xfId="0" applyNumberFormat="1" applyFont="1" applyFill="1" applyBorder="1"/>
    <xf numFmtId="0" fontId="2" fillId="0" borderId="5" xfId="0" applyFont="1" applyBorder="1"/>
    <xf numFmtId="0" fontId="2" fillId="0" borderId="6" xfId="0" applyFont="1" applyBorder="1"/>
    <xf numFmtId="0" fontId="2" fillId="6" borderId="0" xfId="0" applyFont="1" applyFill="1"/>
    <xf numFmtId="166" fontId="2" fillId="6" borderId="0" xfId="0" applyNumberFormat="1" applyFont="1" applyFill="1"/>
    <xf numFmtId="166" fontId="2" fillId="6" borderId="3" xfId="0" applyNumberFormat="1" applyFont="1" applyFill="1" applyBorder="1"/>
    <xf numFmtId="166" fontId="2" fillId="6" borderId="1" xfId="0" applyNumberFormat="1" applyFont="1" applyFill="1" applyBorder="1"/>
    <xf numFmtId="166" fontId="2" fillId="3" borderId="1" xfId="0" applyNumberFormat="1" applyFont="1" applyFill="1" applyBorder="1"/>
    <xf numFmtId="166" fontId="2" fillId="3" borderId="2" xfId="0" applyNumberFormat="1" applyFont="1" applyFill="1" applyBorder="1"/>
    <xf numFmtId="167" fontId="2" fillId="3" borderId="1" xfId="0" applyNumberFormat="1" applyFont="1" applyFill="1" applyBorder="1"/>
    <xf numFmtId="167" fontId="2" fillId="3" borderId="2" xfId="0" applyNumberFormat="1" applyFont="1" applyFill="1" applyBorder="1"/>
    <xf numFmtId="166" fontId="2" fillId="7" borderId="1" xfId="0" applyNumberFormat="1" applyFont="1" applyFill="1" applyBorder="1"/>
    <xf numFmtId="0" fontId="0" fillId="7" borderId="0" xfId="0" applyFill="1"/>
    <xf numFmtId="0" fontId="17" fillId="7" borderId="0" xfId="0" applyFont="1" applyFill="1"/>
    <xf numFmtId="0" fontId="5" fillId="7" borderId="0" xfId="0" applyFont="1" applyFill="1"/>
    <xf numFmtId="0" fontId="5" fillId="0" borderId="0" xfId="0" applyFont="1"/>
    <xf numFmtId="0" fontId="5" fillId="4" borderId="0" xfId="0" applyFont="1" applyFill="1"/>
    <xf numFmtId="0" fontId="5" fillId="4" borderId="0" xfId="0" applyFont="1" applyFill="1" applyAlignment="1">
      <alignment horizontal="center"/>
    </xf>
    <xf numFmtId="0" fontId="5" fillId="6" borderId="0" xfId="0" applyFont="1" applyFill="1"/>
    <xf numFmtId="0" fontId="5" fillId="6" borderId="0" xfId="0" applyFont="1" applyFill="1" applyAlignment="1">
      <alignment horizontal="center"/>
    </xf>
    <xf numFmtId="0" fontId="5" fillId="0" borderId="0" xfId="0" applyFont="1" applyAlignment="1">
      <alignment wrapText="1"/>
    </xf>
    <xf numFmtId="166" fontId="2" fillId="7" borderId="0" xfId="0" applyNumberFormat="1" applyFont="1" applyFill="1"/>
    <xf numFmtId="166" fontId="2" fillId="7" borderId="3" xfId="0" applyNumberFormat="1" applyFont="1" applyFill="1" applyBorder="1"/>
    <xf numFmtId="0" fontId="22" fillId="0" borderId="1" xfId="0" applyFont="1" applyBorder="1"/>
    <xf numFmtId="0" fontId="2" fillId="0" borderId="1" xfId="0" applyFont="1" applyBorder="1"/>
    <xf numFmtId="0" fontId="2" fillId="0" borderId="0" xfId="0" applyFont="1" applyAlignment="1">
      <alignment vertical="top"/>
    </xf>
    <xf numFmtId="166" fontId="2" fillId="0" borderId="2" xfId="0" applyNumberFormat="1" applyFont="1" applyBorder="1"/>
    <xf numFmtId="0" fontId="0" fillId="8" borderId="0" xfId="0" applyFill="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166" fontId="2" fillId="3" borderId="3" xfId="0" applyNumberFormat="1" applyFont="1" applyFill="1" applyBorder="1"/>
    <xf numFmtId="166" fontId="8" fillId="3" borderId="3" xfId="0" applyNumberFormat="1" applyFont="1" applyFill="1" applyBorder="1"/>
    <xf numFmtId="2" fontId="8" fillId="3" borderId="3" xfId="0" applyNumberFormat="1" applyFont="1" applyFill="1" applyBorder="1"/>
    <xf numFmtId="166" fontId="27" fillId="3" borderId="3" xfId="1" applyNumberFormat="1" applyFont="1" applyFill="1" applyBorder="1" applyAlignment="1">
      <alignment horizontal="center"/>
    </xf>
    <xf numFmtId="0" fontId="2" fillId="0" borderId="2" xfId="0" applyFont="1" applyBorder="1"/>
    <xf numFmtId="0" fontId="2" fillId="0" borderId="3" xfId="0" applyFont="1" applyBorder="1"/>
    <xf numFmtId="167" fontId="0" fillId="3" borderId="3" xfId="0" applyNumberFormat="1" applyFill="1" applyBorder="1"/>
    <xf numFmtId="167" fontId="2" fillId="3" borderId="3" xfId="0" applyNumberFormat="1" applyFont="1" applyFill="1" applyBorder="1"/>
    <xf numFmtId="166" fontId="2" fillId="3" borderId="0" xfId="0" applyNumberFormat="1" applyFont="1" applyFill="1"/>
    <xf numFmtId="0" fontId="29" fillId="0" borderId="0" xfId="0" applyFont="1"/>
    <xf numFmtId="166" fontId="30" fillId="3" borderId="0" xfId="1" applyNumberFormat="1" applyFont="1" applyFill="1" applyBorder="1" applyAlignment="1">
      <alignment horizontal="center"/>
    </xf>
    <xf numFmtId="166" fontId="30" fillId="3" borderId="1" xfId="1" applyNumberFormat="1" applyFont="1" applyFill="1" applyBorder="1" applyAlignment="1">
      <alignment horizontal="center"/>
    </xf>
    <xf numFmtId="0" fontId="31" fillId="0" borderId="0" xfId="0" applyFont="1"/>
    <xf numFmtId="0" fontId="31" fillId="0" borderId="1" xfId="0" applyFont="1" applyBorder="1"/>
    <xf numFmtId="0" fontId="31" fillId="0" borderId="2" xfId="0" applyFont="1" applyBorder="1"/>
    <xf numFmtId="166" fontId="0" fillId="3" borderId="4" xfId="0" applyNumberFormat="1" applyFill="1" applyBorder="1"/>
    <xf numFmtId="166" fontId="0" fillId="3" borderId="0" xfId="0" applyNumberFormat="1" applyFill="1"/>
    <xf numFmtId="166" fontId="0" fillId="3" borderId="1" xfId="0" applyNumberFormat="1" applyFill="1" applyBorder="1"/>
    <xf numFmtId="166" fontId="0" fillId="3" borderId="2" xfId="0" applyNumberFormat="1" applyFill="1" applyBorder="1"/>
    <xf numFmtId="167" fontId="0" fillId="3" borderId="4" xfId="0" applyNumberFormat="1" applyFill="1" applyBorder="1"/>
    <xf numFmtId="0" fontId="5" fillId="9" borderId="0" xfId="0" applyFont="1" applyFill="1" applyAlignment="1">
      <alignment vertical="top"/>
    </xf>
    <xf numFmtId="166" fontId="32" fillId="10" borderId="1" xfId="0" applyNumberFormat="1" applyFont="1" applyFill="1" applyBorder="1"/>
    <xf numFmtId="0" fontId="4" fillId="0" borderId="3" xfId="0" applyFont="1" applyBorder="1" applyAlignment="1">
      <alignment horizontal="center" wrapText="1"/>
    </xf>
    <xf numFmtId="166" fontId="2" fillId="11" borderId="1" xfId="0" applyNumberFormat="1" applyFont="1" applyFill="1" applyBorder="1"/>
    <xf numFmtId="166" fontId="2" fillId="11" borderId="0" xfId="0" applyNumberFormat="1" applyFont="1" applyFill="1" applyBorder="1"/>
    <xf numFmtId="166" fontId="2" fillId="0" borderId="0" xfId="0" applyNumberFormat="1" applyFont="1" applyBorder="1"/>
    <xf numFmtId="166" fontId="2" fillId="7" borderId="0" xfId="0" applyNumberFormat="1" applyFont="1" applyFill="1" applyBorder="1"/>
    <xf numFmtId="166" fontId="2" fillId="6" borderId="0" xfId="0" applyNumberFormat="1" applyFont="1" applyFill="1" applyBorder="1"/>
    <xf numFmtId="2" fontId="2" fillId="0" borderId="0" xfId="0" applyNumberFormat="1" applyFont="1" applyBorder="1"/>
    <xf numFmtId="166" fontId="12" fillId="0" borderId="0" xfId="0" applyNumberFormat="1" applyFont="1" applyBorder="1" applyAlignment="1">
      <alignment horizontal="center"/>
    </xf>
    <xf numFmtId="0" fontId="5" fillId="9" borderId="0" xfId="0" applyFont="1" applyFill="1" applyAlignment="1">
      <alignment vertical="center" wrapText="1"/>
    </xf>
  </cellXfs>
  <cellStyles count="10">
    <cellStyle name="Komma" xfId="1" builtinId="3"/>
    <cellStyle name="Komma 2" xfId="2" xr:uid="{00000000-0005-0000-0000-000001000000}"/>
    <cellStyle name="Komma 2 2" xfId="7" xr:uid="{00000000-0005-0000-0000-000002000000}"/>
    <cellStyle name="Link 2" xfId="3" xr:uid="{00000000-0005-0000-0000-000003000000}"/>
    <cellStyle name="Link 3" xfId="4" xr:uid="{00000000-0005-0000-0000-000004000000}"/>
    <cellStyle name="Normal" xfId="0" builtinId="0"/>
    <cellStyle name="Normal 2" xfId="5" xr:uid="{00000000-0005-0000-0000-000006000000}"/>
    <cellStyle name="Normal 2 2" xfId="8" xr:uid="{00000000-0005-0000-0000-000007000000}"/>
    <cellStyle name="Normal 3" xfId="6" xr:uid="{00000000-0005-0000-0000-000008000000}"/>
    <cellStyle name="Normal 4" xfId="9" xr:uid="{00000000-0005-0000-0000-000009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47626</xdr:rowOff>
    </xdr:from>
    <xdr:to>
      <xdr:col>4</xdr:col>
      <xdr:colOff>339097</xdr:colOff>
      <xdr:row>28</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68 pct.) </a:t>
          </a:r>
        </a:p>
        <a:p>
          <a:pPr algn="l" rtl="0">
            <a:defRPr sz="1000"/>
          </a:pPr>
          <a:r>
            <a:rPr lang="da-DK" sz="900" b="0" i="0" u="none" strike="noStrike" baseline="0">
              <a:solidFill>
                <a:srgbClr val="000000"/>
              </a:solidFill>
              <a:latin typeface="Arial"/>
              <a:cs typeface="Arial"/>
            </a:rPr>
            <a:t>+ (Procentvis ændring i el-indeks x 6 pct.) </a:t>
          </a:r>
        </a:p>
        <a:p>
          <a:pPr algn="l" rtl="0">
            <a:defRPr sz="1000"/>
          </a:pPr>
          <a:r>
            <a:rPr lang="da-DK" sz="900" b="0" i="0" u="none" strike="noStrike" baseline="0">
              <a:solidFill>
                <a:srgbClr val="000000"/>
              </a:solidFill>
              <a:latin typeface="Arial"/>
              <a:cs typeface="Arial"/>
            </a:rPr>
            <a:t>+ (Procentvis ændring i forbrugerindeks x 9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39</xdr:row>
      <xdr:rowOff>104775</xdr:rowOff>
    </xdr:from>
    <xdr:to>
      <xdr:col>4</xdr:col>
      <xdr:colOff>331469</xdr:colOff>
      <xdr:row>50</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drivmiddel,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104775</xdr:rowOff>
    </xdr:from>
    <xdr:to>
      <xdr:col>4</xdr:col>
      <xdr:colOff>331471</xdr:colOff>
      <xdr:row>39</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7" totalsRowShown="0" headerRowDxfId="14">
  <autoFilter ref="A3:J267"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_x000a_(SBLON Vest)"/>
    <tableColumn id="4" xr3:uid="{00000000-0010-0000-0000-000004000000}" name="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SBLON Vest)"/>
    <tableColumn id="4" xr3:uid="{00000000-0010-0000-0100-000004000000}" name="El"/>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266" totalsRowShown="0" headerRowDxfId="10" dataDxfId="9" tableBorderDxfId="8">
  <autoFilter ref="A2:H266" xr:uid="{00000000-0009-0000-0100-000014000000}">
    <filterColumn colId="0">
      <filters>
        <filter val="2023"/>
        <filter val="2024"/>
        <filter val="2025"/>
        <filter val="2026"/>
      </filters>
    </filterColumn>
  </autoFilter>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6"/>
  <sheetViews>
    <sheetView tabSelected="1" view="pageBreakPreview" zoomScaleNormal="100" zoomScaleSheetLayoutView="100" workbookViewId="0">
      <pane xSplit="2" ySplit="183" topLeftCell="C243" activePane="bottomRight" state="frozen"/>
      <selection pane="topRight" activeCell="C1" sqref="C1"/>
      <selection pane="bottomLeft" activeCell="A184" sqref="A184"/>
      <selection pane="bottomRight" activeCell="E250" sqref="E250"/>
    </sheetView>
  </sheetViews>
  <sheetFormatPr defaultRowHeight="12.75" x14ac:dyDescent="0.2"/>
  <cols>
    <col min="1" max="1" width="5.5703125" customWidth="1"/>
    <col min="2" max="2" width="9.5703125" customWidth="1"/>
    <col min="3" max="3" width="13.85546875" customWidth="1"/>
    <col min="4" max="4" width="9.5703125" bestFit="1" customWidth="1"/>
    <col min="5" max="5" width="10.140625" customWidth="1"/>
    <col min="6" max="6" width="11.140625" customWidth="1"/>
    <col min="7" max="7" width="8.140625" customWidth="1"/>
    <col min="8" max="8" width="10.42578125" style="41" customWidth="1"/>
    <col min="9" max="9" width="10.85546875" hidden="1" customWidth="1"/>
    <col min="10" max="10" width="22.85546875" customWidth="1"/>
  </cols>
  <sheetData>
    <row r="1" spans="1:10" ht="21" customHeight="1" x14ac:dyDescent="0.3">
      <c r="A1" s="28"/>
      <c r="C1" s="2"/>
      <c r="I1" s="42" t="s">
        <v>31</v>
      </c>
      <c r="J1" s="74" t="s">
        <v>31</v>
      </c>
    </row>
    <row r="2" spans="1:10" x14ac:dyDescent="0.2">
      <c r="A2" t="s">
        <v>68</v>
      </c>
      <c r="B2" s="2" t="s">
        <v>27</v>
      </c>
      <c r="C2" s="3">
        <v>0.68</v>
      </c>
      <c r="D2" s="3">
        <v>0.06</v>
      </c>
      <c r="E2" s="3">
        <v>0.09</v>
      </c>
      <c r="F2" s="3">
        <v>0.1</v>
      </c>
      <c r="G2" s="3">
        <v>7.0000000000000007E-2</v>
      </c>
    </row>
    <row r="3" spans="1:10" ht="26.25" customHeight="1" thickBot="1" x14ac:dyDescent="0.3">
      <c r="A3" s="140" t="s">
        <v>1</v>
      </c>
      <c r="B3" s="140" t="s">
        <v>2</v>
      </c>
      <c r="C3" s="203" t="s">
        <v>91</v>
      </c>
      <c r="D3" s="140" t="s">
        <v>73</v>
      </c>
      <c r="E3" s="140" t="s">
        <v>4</v>
      </c>
      <c r="F3" s="140" t="s">
        <v>5</v>
      </c>
      <c r="G3" s="140" t="s">
        <v>6</v>
      </c>
      <c r="H3" s="141" t="s">
        <v>0</v>
      </c>
      <c r="I3" s="2" t="s">
        <v>19</v>
      </c>
      <c r="J3" s="142" t="s">
        <v>46</v>
      </c>
    </row>
    <row r="4" spans="1:10" ht="15" hidden="1" x14ac:dyDescent="0.2">
      <c r="A4" s="2">
        <v>2005</v>
      </c>
      <c r="B4" t="s">
        <v>7</v>
      </c>
      <c r="C4" s="86" t="s">
        <v>18</v>
      </c>
      <c r="D4" s="84" t="s">
        <v>18</v>
      </c>
      <c r="E4" s="84" t="s">
        <v>18</v>
      </c>
      <c r="F4" s="84" t="s">
        <v>18</v>
      </c>
      <c r="G4" s="84" t="s">
        <v>18</v>
      </c>
      <c r="H4" s="68" t="s">
        <v>18</v>
      </c>
      <c r="I4" t="s">
        <v>18</v>
      </c>
    </row>
    <row r="5" spans="1:10" ht="15" hidden="1" x14ac:dyDescent="0.2">
      <c r="A5" s="11">
        <f>A4</f>
        <v>2005</v>
      </c>
      <c r="B5" t="s">
        <v>8</v>
      </c>
      <c r="C5" s="86" t="s">
        <v>18</v>
      </c>
      <c r="D5" s="84" t="s">
        <v>18</v>
      </c>
      <c r="E5" s="84" t="s">
        <v>18</v>
      </c>
      <c r="F5" s="84" t="s">
        <v>18</v>
      </c>
      <c r="G5" s="84" t="s">
        <v>18</v>
      </c>
      <c r="H5" s="68" t="s">
        <v>18</v>
      </c>
      <c r="I5" s="4" t="e">
        <f t="shared" ref="I5:I36" si="0">(H5-H4)/H4*100</f>
        <v>#VALUE!</v>
      </c>
    </row>
    <row r="6" spans="1:10" ht="15" hidden="1" x14ac:dyDescent="0.2">
      <c r="A6" s="13">
        <f t="shared" ref="A6:A15" si="1">A5</f>
        <v>2005</v>
      </c>
      <c r="B6" s="14" t="s">
        <v>9</v>
      </c>
      <c r="C6" s="90" t="s">
        <v>18</v>
      </c>
      <c r="D6" s="91" t="s">
        <v>18</v>
      </c>
      <c r="E6" s="91" t="s">
        <v>18</v>
      </c>
      <c r="F6" s="90" t="s">
        <v>18</v>
      </c>
      <c r="G6" s="91" t="s">
        <v>18</v>
      </c>
      <c r="H6" s="69" t="s">
        <v>18</v>
      </c>
      <c r="I6" s="4" t="e">
        <f t="shared" si="0"/>
        <v>#VALUE!</v>
      </c>
    </row>
    <row r="7" spans="1:10" ht="15" hidden="1" x14ac:dyDescent="0.2">
      <c r="A7" s="18">
        <f t="shared" si="1"/>
        <v>2005</v>
      </c>
      <c r="B7" s="19" t="s">
        <v>10</v>
      </c>
      <c r="C7" s="92" t="s">
        <v>18</v>
      </c>
      <c r="D7" s="93" t="s">
        <v>18</v>
      </c>
      <c r="E7" s="93" t="s">
        <v>18</v>
      </c>
      <c r="F7" s="93" t="s">
        <v>18</v>
      </c>
      <c r="G7" s="93" t="s">
        <v>18</v>
      </c>
      <c r="H7" s="70" t="s">
        <v>18</v>
      </c>
      <c r="I7" s="4" t="e">
        <f t="shared" si="0"/>
        <v>#VALUE!</v>
      </c>
    </row>
    <row r="8" spans="1:10" ht="15" hidden="1" x14ac:dyDescent="0.2">
      <c r="A8" s="11">
        <f t="shared" si="1"/>
        <v>2005</v>
      </c>
      <c r="B8" t="s">
        <v>11</v>
      </c>
      <c r="C8" s="86" t="s">
        <v>18</v>
      </c>
      <c r="D8" s="84" t="s">
        <v>18</v>
      </c>
      <c r="E8" s="84" t="s">
        <v>18</v>
      </c>
      <c r="F8" s="84" t="s">
        <v>18</v>
      </c>
      <c r="G8" s="84" t="s">
        <v>18</v>
      </c>
      <c r="H8" s="68" t="s">
        <v>18</v>
      </c>
      <c r="I8" s="4" t="e">
        <f t="shared" si="0"/>
        <v>#VALUE!</v>
      </c>
    </row>
    <row r="9" spans="1:10" ht="15" hidden="1" x14ac:dyDescent="0.2">
      <c r="A9" s="13">
        <f t="shared" si="1"/>
        <v>2005</v>
      </c>
      <c r="B9" s="14" t="s">
        <v>12</v>
      </c>
      <c r="C9" s="90" t="s">
        <v>18</v>
      </c>
      <c r="D9" s="91" t="s">
        <v>18</v>
      </c>
      <c r="E9" s="91" t="s">
        <v>18</v>
      </c>
      <c r="F9" s="91" t="s">
        <v>18</v>
      </c>
      <c r="G9" s="94" t="s">
        <v>18</v>
      </c>
      <c r="H9" s="69" t="s">
        <v>18</v>
      </c>
      <c r="I9" s="4" t="e">
        <f t="shared" si="0"/>
        <v>#VALUE!</v>
      </c>
    </row>
    <row r="10" spans="1:10" ht="15" hidden="1" x14ac:dyDescent="0.2">
      <c r="A10" s="95">
        <f t="shared" si="1"/>
        <v>2005</v>
      </c>
      <c r="B10" s="23" t="s">
        <v>30</v>
      </c>
      <c r="C10" s="20">
        <v>100</v>
      </c>
      <c r="D10" s="20">
        <v>117.3</v>
      </c>
      <c r="E10" s="19">
        <v>110.3</v>
      </c>
      <c r="F10" s="20">
        <v>99.4</v>
      </c>
      <c r="G10" s="24">
        <v>3.36</v>
      </c>
      <c r="H10" s="70">
        <f t="shared" ref="H10:H35" si="2">100+((C10-$C$40)/$C$40*100*$C$2)+((D10-$D$40)/$D$40*100*$D$2)+((E10-$E$40)/$E$40*100*$E$2)+((F10-$F$40)/$F$40*100*$F$2)+((G10-$G$40)/$G$40*100*$G$2)</f>
        <v>94.877593301005618</v>
      </c>
      <c r="I10" s="4" t="e">
        <f t="shared" si="0"/>
        <v>#VALUE!</v>
      </c>
    </row>
    <row r="11" spans="1:10" ht="15" hidden="1" x14ac:dyDescent="0.2">
      <c r="A11" s="11">
        <f t="shared" si="1"/>
        <v>2005</v>
      </c>
      <c r="B11" t="s">
        <v>13</v>
      </c>
      <c r="C11" s="12">
        <v>100</v>
      </c>
      <c r="D11">
        <v>122.9</v>
      </c>
      <c r="E11">
        <v>110.4</v>
      </c>
      <c r="F11">
        <v>99.8</v>
      </c>
      <c r="G11">
        <v>3.3</v>
      </c>
      <c r="H11" s="68">
        <f t="shared" si="2"/>
        <v>95.244326940477876</v>
      </c>
      <c r="I11" s="4">
        <f t="shared" si="0"/>
        <v>0.38653345506854375</v>
      </c>
    </row>
    <row r="12" spans="1:10" ht="15" hidden="1" x14ac:dyDescent="0.2">
      <c r="A12" s="13">
        <f t="shared" si="1"/>
        <v>2005</v>
      </c>
      <c r="B12" s="14" t="s">
        <v>14</v>
      </c>
      <c r="C12" s="15">
        <v>100</v>
      </c>
      <c r="D12" s="14">
        <v>127</v>
      </c>
      <c r="E12" s="14">
        <v>110.3</v>
      </c>
      <c r="F12" s="15">
        <v>100</v>
      </c>
      <c r="G12" s="14">
        <v>3.29</v>
      </c>
      <c r="H12" s="69">
        <f t="shared" si="2"/>
        <v>95.53955845189823</v>
      </c>
      <c r="I12" s="4">
        <f t="shared" si="0"/>
        <v>0.30997280457959109</v>
      </c>
    </row>
    <row r="13" spans="1:10" ht="15" hidden="1" x14ac:dyDescent="0.2">
      <c r="A13" s="18">
        <f t="shared" si="1"/>
        <v>2005</v>
      </c>
      <c r="B13" s="19" t="s">
        <v>15</v>
      </c>
      <c r="C13" s="20">
        <v>100.5</v>
      </c>
      <c r="D13" s="19">
        <v>126.5</v>
      </c>
      <c r="E13" s="19">
        <v>110.3</v>
      </c>
      <c r="F13" s="19">
        <v>100.1</v>
      </c>
      <c r="G13" s="19">
        <v>3.29</v>
      </c>
      <c r="H13" s="70">
        <f t="shared" si="2"/>
        <v>95.82670073545998</v>
      </c>
      <c r="I13" s="4">
        <f t="shared" si="0"/>
        <v>0.30054805382664429</v>
      </c>
    </row>
    <row r="14" spans="1:10" ht="15" hidden="1" x14ac:dyDescent="0.2">
      <c r="A14" s="11">
        <f t="shared" si="1"/>
        <v>2005</v>
      </c>
      <c r="B14" t="s">
        <v>16</v>
      </c>
      <c r="C14" s="12">
        <v>100.5</v>
      </c>
      <c r="D14">
        <v>130.19999999999999</v>
      </c>
      <c r="E14">
        <v>111.2</v>
      </c>
      <c r="F14" s="12">
        <v>100</v>
      </c>
      <c r="G14" s="22">
        <v>3.34</v>
      </c>
      <c r="H14" s="68">
        <f t="shared" si="2"/>
        <v>96.22802314849929</v>
      </c>
      <c r="I14" s="4">
        <f t="shared" si="0"/>
        <v>0.41880019864943896</v>
      </c>
    </row>
    <row r="15" spans="1:10" ht="15.75" hidden="1" thickBot="1" x14ac:dyDescent="0.25">
      <c r="A15" s="31">
        <f t="shared" si="1"/>
        <v>2005</v>
      </c>
      <c r="B15" s="32" t="s">
        <v>17</v>
      </c>
      <c r="C15" s="33">
        <v>100.5</v>
      </c>
      <c r="D15" s="32">
        <v>132.80000000000001</v>
      </c>
      <c r="E15" s="32">
        <v>111.1</v>
      </c>
      <c r="F15" s="32">
        <v>100.1</v>
      </c>
      <c r="G15" s="59">
        <v>3.72</v>
      </c>
      <c r="H15" s="71">
        <f t="shared" si="2"/>
        <v>96.976587390596848</v>
      </c>
      <c r="I15" s="4">
        <f t="shared" si="0"/>
        <v>0.77790670285554142</v>
      </c>
    </row>
    <row r="16" spans="1:10" ht="15" hidden="1" x14ac:dyDescent="0.2">
      <c r="A16" s="2">
        <v>2006</v>
      </c>
      <c r="B16" t="s">
        <v>7</v>
      </c>
      <c r="C16" s="12">
        <v>101.3</v>
      </c>
      <c r="D16">
        <v>125.9</v>
      </c>
      <c r="E16">
        <v>110.8</v>
      </c>
      <c r="F16" s="12">
        <v>99.9</v>
      </c>
      <c r="G16">
        <v>3.8</v>
      </c>
      <c r="H16" s="68">
        <f t="shared" si="2"/>
        <v>97.050934674472416</v>
      </c>
      <c r="I16" s="4">
        <f t="shared" si="0"/>
        <v>7.6665188862664421E-2</v>
      </c>
    </row>
    <row r="17" spans="1:9" ht="15" hidden="1" x14ac:dyDescent="0.2">
      <c r="A17" s="11">
        <f>A16</f>
        <v>2006</v>
      </c>
      <c r="B17" t="s">
        <v>8</v>
      </c>
      <c r="C17" s="12">
        <v>101.3</v>
      </c>
      <c r="D17" s="12">
        <v>125.1</v>
      </c>
      <c r="E17">
        <v>110.8</v>
      </c>
      <c r="F17">
        <v>99.4</v>
      </c>
      <c r="G17">
        <v>3.69</v>
      </c>
      <c r="H17" s="68">
        <f t="shared" si="2"/>
        <v>96.780044777589509</v>
      </c>
      <c r="I17" s="4">
        <f t="shared" si="0"/>
        <v>-0.27912136837375462</v>
      </c>
    </row>
    <row r="18" spans="1:9" ht="15" hidden="1" x14ac:dyDescent="0.2">
      <c r="A18" s="13">
        <f t="shared" ref="A18:A27" si="3">A17</f>
        <v>2006</v>
      </c>
      <c r="B18" s="14" t="s">
        <v>9</v>
      </c>
      <c r="C18" s="15">
        <v>101.3</v>
      </c>
      <c r="D18" s="14">
        <v>126.1</v>
      </c>
      <c r="E18" s="14">
        <v>110.4</v>
      </c>
      <c r="F18" s="15">
        <v>99.8</v>
      </c>
      <c r="G18" s="16">
        <v>3.71</v>
      </c>
      <c r="H18" s="69">
        <f t="shared" si="2"/>
        <v>96.891884464054598</v>
      </c>
      <c r="I18" s="4">
        <f t="shared" si="0"/>
        <v>0.11556068890245723</v>
      </c>
    </row>
    <row r="19" spans="1:9" ht="15" hidden="1" x14ac:dyDescent="0.2">
      <c r="A19" s="18">
        <f t="shared" si="3"/>
        <v>2006</v>
      </c>
      <c r="B19" s="19" t="s">
        <v>10</v>
      </c>
      <c r="C19" s="20">
        <v>102.1</v>
      </c>
      <c r="D19" s="19">
        <v>126</v>
      </c>
      <c r="E19" s="19">
        <v>111.5</v>
      </c>
      <c r="F19" s="19">
        <v>99.4</v>
      </c>
      <c r="G19" s="19">
        <v>3.81</v>
      </c>
      <c r="H19" s="70">
        <f t="shared" si="2"/>
        <v>97.576829062683217</v>
      </c>
      <c r="I19" s="4">
        <f t="shared" si="0"/>
        <v>0.70691637634803395</v>
      </c>
    </row>
    <row r="20" spans="1:9" ht="15" hidden="1" x14ac:dyDescent="0.2">
      <c r="A20" s="11">
        <f t="shared" si="3"/>
        <v>2006</v>
      </c>
      <c r="B20" t="s">
        <v>11</v>
      </c>
      <c r="C20" s="12">
        <v>102.1</v>
      </c>
      <c r="D20">
        <v>127.5</v>
      </c>
      <c r="E20">
        <v>111.9</v>
      </c>
      <c r="F20" s="12">
        <v>99.5</v>
      </c>
      <c r="G20" s="22">
        <v>4</v>
      </c>
      <c r="H20" s="68">
        <f t="shared" si="2"/>
        <v>98.005818203007138</v>
      </c>
      <c r="I20" s="4">
        <f t="shared" si="0"/>
        <v>0.43964242786403618</v>
      </c>
    </row>
    <row r="21" spans="1:9" ht="15" hidden="1" x14ac:dyDescent="0.2">
      <c r="A21" s="13">
        <f t="shared" si="3"/>
        <v>2006</v>
      </c>
      <c r="B21" s="14" t="s">
        <v>12</v>
      </c>
      <c r="C21" s="15">
        <v>102.1</v>
      </c>
      <c r="D21" s="14">
        <v>128.9</v>
      </c>
      <c r="E21" s="14">
        <v>112.4</v>
      </c>
      <c r="F21" s="15">
        <v>99.4</v>
      </c>
      <c r="G21" s="14">
        <v>4.13</v>
      </c>
      <c r="H21" s="69">
        <f t="shared" si="2"/>
        <v>98.326705537498157</v>
      </c>
      <c r="I21" s="4">
        <f t="shared" si="0"/>
        <v>0.32741661706893738</v>
      </c>
    </row>
    <row r="22" spans="1:9" ht="15" hidden="1" x14ac:dyDescent="0.2">
      <c r="A22" s="18">
        <f t="shared" si="3"/>
        <v>2006</v>
      </c>
      <c r="B22" s="23" t="s">
        <v>30</v>
      </c>
      <c r="C22" s="20">
        <v>102.9</v>
      </c>
      <c r="D22" s="19">
        <v>130.30000000000001</v>
      </c>
      <c r="E22" s="19">
        <v>112.5</v>
      </c>
      <c r="F22" s="20">
        <v>98.8</v>
      </c>
      <c r="G22" s="24">
        <v>4.0999999999999996</v>
      </c>
      <c r="H22" s="70">
        <f t="shared" si="2"/>
        <v>98.831050706688771</v>
      </c>
      <c r="I22" s="4">
        <f t="shared" si="0"/>
        <v>0.51292796441580735</v>
      </c>
    </row>
    <row r="23" spans="1:9" ht="15" hidden="1" x14ac:dyDescent="0.2">
      <c r="A23" s="11">
        <f t="shared" si="3"/>
        <v>2006</v>
      </c>
      <c r="B23" t="s">
        <v>13</v>
      </c>
      <c r="C23" s="12">
        <v>102.9</v>
      </c>
      <c r="D23">
        <v>130.30000000000001</v>
      </c>
      <c r="E23">
        <v>112.8</v>
      </c>
      <c r="F23" s="12">
        <v>98</v>
      </c>
      <c r="G23">
        <v>4.21</v>
      </c>
      <c r="H23" s="68">
        <f t="shared" si="2"/>
        <v>98.933463617192928</v>
      </c>
      <c r="I23" s="4">
        <f t="shared" si="0"/>
        <v>0.10362422515176752</v>
      </c>
    </row>
    <row r="24" spans="1:9" ht="15" hidden="1" x14ac:dyDescent="0.2">
      <c r="A24" s="13">
        <f t="shared" si="3"/>
        <v>2006</v>
      </c>
      <c r="B24" s="14" t="s">
        <v>14</v>
      </c>
      <c r="C24" s="15">
        <v>102.9</v>
      </c>
      <c r="D24" s="14">
        <v>131.19999999999999</v>
      </c>
      <c r="E24" s="14">
        <v>112.5</v>
      </c>
      <c r="F24" s="15">
        <v>98.3</v>
      </c>
      <c r="G24" s="16">
        <v>4.16</v>
      </c>
      <c r="H24" s="69">
        <f t="shared" si="2"/>
        <v>98.932825106588282</v>
      </c>
      <c r="I24" s="4">
        <f t="shared" si="0"/>
        <v>-6.4539396610611153E-4</v>
      </c>
    </row>
    <row r="25" spans="1:9" ht="15" hidden="1" x14ac:dyDescent="0.2">
      <c r="A25" s="18">
        <f t="shared" si="3"/>
        <v>2006</v>
      </c>
      <c r="B25" s="19" t="s">
        <v>15</v>
      </c>
      <c r="C25" s="20">
        <v>103.7</v>
      </c>
      <c r="D25" s="19">
        <v>133.9</v>
      </c>
      <c r="E25" s="19">
        <v>112.5</v>
      </c>
      <c r="F25" s="20">
        <v>98.2</v>
      </c>
      <c r="G25" s="19">
        <v>4.1500000000000004</v>
      </c>
      <c r="H25" s="70">
        <f t="shared" si="2"/>
        <v>99.604424377229464</v>
      </c>
      <c r="I25" s="4">
        <f t="shared" si="0"/>
        <v>0.67884372039069252</v>
      </c>
    </row>
    <row r="26" spans="1:9" ht="15" hidden="1" x14ac:dyDescent="0.2">
      <c r="A26" s="11">
        <f t="shared" si="3"/>
        <v>2006</v>
      </c>
      <c r="B26" t="s">
        <v>16</v>
      </c>
      <c r="C26" s="12">
        <v>103.7</v>
      </c>
      <c r="D26">
        <v>128.4</v>
      </c>
      <c r="E26">
        <v>112.9</v>
      </c>
      <c r="F26" s="12">
        <v>97.8</v>
      </c>
      <c r="G26" s="22">
        <v>4.1399999999999997</v>
      </c>
      <c r="H26" s="68">
        <f t="shared" si="2"/>
        <v>99.181172786653505</v>
      </c>
      <c r="I26" s="4">
        <f t="shared" si="0"/>
        <v>-0.42493252003845511</v>
      </c>
    </row>
    <row r="27" spans="1:9" ht="15.75" hidden="1" thickBot="1" x14ac:dyDescent="0.25">
      <c r="A27" s="31">
        <f t="shared" si="3"/>
        <v>2006</v>
      </c>
      <c r="B27" s="32" t="s">
        <v>17</v>
      </c>
      <c r="C27" s="33">
        <v>103.7</v>
      </c>
      <c r="D27" s="32">
        <v>124.1</v>
      </c>
      <c r="E27" s="32">
        <v>112.8</v>
      </c>
      <c r="F27" s="33">
        <v>97.5</v>
      </c>
      <c r="G27" s="32">
        <v>4.3499999999999996</v>
      </c>
      <c r="H27" s="71">
        <f t="shared" si="2"/>
        <v>99.139066493069535</v>
      </c>
      <c r="I27" s="4">
        <f t="shared" si="0"/>
        <v>-4.2453917816180645E-2</v>
      </c>
    </row>
    <row r="28" spans="1:9" ht="15" hidden="1" x14ac:dyDescent="0.2">
      <c r="A28" s="2">
        <v>2007</v>
      </c>
      <c r="B28" t="s">
        <v>7</v>
      </c>
      <c r="C28" s="12">
        <v>104.4</v>
      </c>
      <c r="D28">
        <v>123.7</v>
      </c>
      <c r="E28">
        <v>112.7</v>
      </c>
      <c r="F28" s="12">
        <v>97.4</v>
      </c>
      <c r="G28" s="22">
        <v>4.3</v>
      </c>
      <c r="H28" s="68">
        <f t="shared" si="2"/>
        <v>99.456920563826344</v>
      </c>
      <c r="I28" s="4">
        <f t="shared" si="0"/>
        <v>0.32061434709901065</v>
      </c>
    </row>
    <row r="29" spans="1:9" ht="15" hidden="1" x14ac:dyDescent="0.2">
      <c r="A29" s="11">
        <f>A28</f>
        <v>2007</v>
      </c>
      <c r="B29" t="s">
        <v>8</v>
      </c>
      <c r="C29" s="12">
        <v>104.4</v>
      </c>
      <c r="D29">
        <v>123.1</v>
      </c>
      <c r="E29">
        <v>112.8</v>
      </c>
      <c r="F29" s="12">
        <v>97.6</v>
      </c>
      <c r="G29">
        <v>4.37</v>
      </c>
      <c r="H29" s="68">
        <f t="shared" si="2"/>
        <v>99.544557199973397</v>
      </c>
      <c r="I29" s="4">
        <f t="shared" si="0"/>
        <v>8.8115171523747704E-2</v>
      </c>
    </row>
    <row r="30" spans="1:9" ht="15" hidden="1" x14ac:dyDescent="0.2">
      <c r="A30" s="13">
        <f t="shared" ref="A30:A39" si="4">A29</f>
        <v>2007</v>
      </c>
      <c r="B30" s="14" t="s">
        <v>9</v>
      </c>
      <c r="C30" s="15">
        <v>104.4</v>
      </c>
      <c r="D30" s="14">
        <v>118.5</v>
      </c>
      <c r="E30" s="14">
        <v>112.4</v>
      </c>
      <c r="F30" s="15">
        <v>97.9</v>
      </c>
      <c r="G30" s="16">
        <v>4.46</v>
      </c>
      <c r="H30" s="69">
        <f t="shared" si="2"/>
        <v>99.343026490691472</v>
      </c>
      <c r="I30" s="4">
        <f t="shared" si="0"/>
        <v>-0.20245276582734095</v>
      </c>
    </row>
    <row r="31" spans="1:9" ht="15" hidden="1" x14ac:dyDescent="0.2">
      <c r="A31" s="18">
        <f t="shared" si="4"/>
        <v>2007</v>
      </c>
      <c r="B31" s="19" t="s">
        <v>10</v>
      </c>
      <c r="C31" s="20">
        <v>105.3</v>
      </c>
      <c r="D31" s="19">
        <v>122.2</v>
      </c>
      <c r="E31" s="19">
        <v>113.6</v>
      </c>
      <c r="F31" s="20">
        <v>98.3</v>
      </c>
      <c r="G31" s="19">
        <v>4.4400000000000004</v>
      </c>
      <c r="H31" s="70">
        <f t="shared" si="2"/>
        <v>100.28002937770356</v>
      </c>
      <c r="I31" s="4">
        <f t="shared" si="0"/>
        <v>0.9431994575883822</v>
      </c>
    </row>
    <row r="32" spans="1:9" ht="15" hidden="1" x14ac:dyDescent="0.2">
      <c r="A32" s="11">
        <f t="shared" si="4"/>
        <v>2007</v>
      </c>
      <c r="B32" t="s">
        <v>11</v>
      </c>
      <c r="C32" s="12">
        <v>105.3</v>
      </c>
      <c r="D32">
        <v>123.2</v>
      </c>
      <c r="E32">
        <v>114.1</v>
      </c>
      <c r="F32" s="12">
        <v>98</v>
      </c>
      <c r="G32" s="22">
        <v>4.4800000000000004</v>
      </c>
      <c r="H32" s="68">
        <f t="shared" si="2"/>
        <v>100.41925841090202</v>
      </c>
      <c r="I32" s="4">
        <f t="shared" si="0"/>
        <v>0.13884023973911758</v>
      </c>
    </row>
    <row r="33" spans="1:16" ht="15" hidden="1" x14ac:dyDescent="0.2">
      <c r="A33" s="13">
        <f t="shared" si="4"/>
        <v>2007</v>
      </c>
      <c r="B33" s="14" t="s">
        <v>12</v>
      </c>
      <c r="C33" s="15">
        <v>105.3</v>
      </c>
      <c r="D33" s="14">
        <v>125.1</v>
      </c>
      <c r="E33" s="14">
        <v>114.3</v>
      </c>
      <c r="F33" s="15">
        <v>97.8</v>
      </c>
      <c r="G33" s="14">
        <v>4.59</v>
      </c>
      <c r="H33" s="69">
        <f t="shared" si="2"/>
        <v>100.71335224007852</v>
      </c>
      <c r="I33" s="4">
        <f t="shared" si="0"/>
        <v>0.29286596398980708</v>
      </c>
    </row>
    <row r="34" spans="1:16" ht="15" hidden="1" x14ac:dyDescent="0.2">
      <c r="A34" s="18">
        <f t="shared" si="4"/>
        <v>2007</v>
      </c>
      <c r="B34" s="23" t="s">
        <v>30</v>
      </c>
      <c r="C34" s="20">
        <v>106.3</v>
      </c>
      <c r="D34" s="19">
        <v>124.8</v>
      </c>
      <c r="E34" s="19">
        <v>114.5</v>
      </c>
      <c r="F34" s="20">
        <v>97.6</v>
      </c>
      <c r="G34" s="24">
        <v>4.7699999999999996</v>
      </c>
      <c r="H34" s="70">
        <f t="shared" si="2"/>
        <v>101.57690215916763</v>
      </c>
      <c r="I34" s="4">
        <f t="shared" si="0"/>
        <v>0.85743339873207303</v>
      </c>
    </row>
    <row r="35" spans="1:16" ht="15" hidden="1" x14ac:dyDescent="0.2">
      <c r="A35" s="11">
        <f t="shared" si="4"/>
        <v>2007</v>
      </c>
      <c r="B35" t="s">
        <v>13</v>
      </c>
      <c r="C35" s="12">
        <v>106.3</v>
      </c>
      <c r="D35" s="12">
        <v>127.6</v>
      </c>
      <c r="E35">
        <v>114.4</v>
      </c>
      <c r="F35" s="12">
        <v>97.6</v>
      </c>
      <c r="G35">
        <v>4.91</v>
      </c>
      <c r="H35" s="68">
        <f t="shared" si="2"/>
        <v>101.97745923585269</v>
      </c>
      <c r="I35" s="4">
        <f t="shared" si="0"/>
        <v>0.39433874057056928</v>
      </c>
    </row>
    <row r="36" spans="1:16" ht="15" hidden="1" x14ac:dyDescent="0.2">
      <c r="A36" s="13">
        <f t="shared" si="4"/>
        <v>2007</v>
      </c>
      <c r="B36" s="14" t="s">
        <v>14</v>
      </c>
      <c r="C36" s="15">
        <v>106.3</v>
      </c>
      <c r="D36" s="14">
        <v>128.80000000000001</v>
      </c>
      <c r="E36" s="14">
        <v>113.9</v>
      </c>
      <c r="F36" s="15">
        <v>97.6</v>
      </c>
      <c r="G36" s="16">
        <v>4.8099999999999996</v>
      </c>
      <c r="H36" s="69">
        <f t="shared" ref="H36:H75" si="5">100+((C36-$C$40)/$C$40*100*$C$2)+((D36-$D$40)/$D$40*100*$D$2)+((E36-$E$40)/$E$40*100*$E$2)+((F36-$F$40)/$F$40*100*$F$2)+((G36-$G$40)/$G$40*100*$G$2)</f>
        <v>101.87870419452176</v>
      </c>
      <c r="I36" s="4">
        <f t="shared" si="0"/>
        <v>-9.6840068453296388E-2</v>
      </c>
    </row>
    <row r="37" spans="1:16" ht="15" hidden="1" x14ac:dyDescent="0.2">
      <c r="A37" s="18">
        <f t="shared" si="4"/>
        <v>2007</v>
      </c>
      <c r="B37" s="19" t="s">
        <v>15</v>
      </c>
      <c r="C37" s="20">
        <v>107.5</v>
      </c>
      <c r="D37" s="19">
        <v>128</v>
      </c>
      <c r="E37" s="19">
        <v>113.7</v>
      </c>
      <c r="F37" s="20">
        <v>97.4</v>
      </c>
      <c r="G37" s="19">
        <v>4.82</v>
      </c>
      <c r="H37" s="70">
        <f t="shared" si="5"/>
        <v>102.55060770997702</v>
      </c>
      <c r="I37" s="4">
        <f t="shared" ref="I37:I63" si="6">(H37-H36)/H36*100</f>
        <v>0.65951321305810784</v>
      </c>
    </row>
    <row r="38" spans="1:16" ht="15" hidden="1" x14ac:dyDescent="0.2">
      <c r="A38" s="11">
        <f t="shared" si="4"/>
        <v>2007</v>
      </c>
      <c r="B38" t="s">
        <v>16</v>
      </c>
      <c r="C38" s="12">
        <v>107.5</v>
      </c>
      <c r="D38">
        <v>130.69999999999999</v>
      </c>
      <c r="E38">
        <v>114.3</v>
      </c>
      <c r="F38" s="12">
        <v>97.4</v>
      </c>
      <c r="G38" s="22">
        <v>4.84</v>
      </c>
      <c r="H38" s="68">
        <f t="shared" si="5"/>
        <v>102.8223632354651</v>
      </c>
      <c r="I38" s="4">
        <f t="shared" si="6"/>
        <v>0.26499650422027726</v>
      </c>
    </row>
    <row r="39" spans="1:16" ht="15.75" hidden="1" thickBot="1" x14ac:dyDescent="0.25">
      <c r="A39" s="31">
        <f t="shared" si="4"/>
        <v>2007</v>
      </c>
      <c r="B39" s="32" t="s">
        <v>17</v>
      </c>
      <c r="C39" s="33">
        <v>107.5</v>
      </c>
      <c r="D39" s="32">
        <v>131.30000000000001</v>
      </c>
      <c r="E39" s="32">
        <v>114.7</v>
      </c>
      <c r="F39" s="33">
        <v>97.3</v>
      </c>
      <c r="G39" s="32">
        <v>4.8499999999999996</v>
      </c>
      <c r="H39" s="71">
        <f t="shared" si="5"/>
        <v>102.90138671874034</v>
      </c>
      <c r="I39" s="4">
        <f t="shared" si="6"/>
        <v>7.6854373687434988E-2</v>
      </c>
    </row>
    <row r="40" spans="1:16" s="2" customFormat="1" ht="15.75" hidden="1" x14ac:dyDescent="0.25">
      <c r="A40" s="2">
        <v>2008</v>
      </c>
      <c r="B40" s="2" t="s">
        <v>7</v>
      </c>
      <c r="C40" s="8">
        <v>108.6</v>
      </c>
      <c r="D40" s="8">
        <v>82.8</v>
      </c>
      <c r="E40" s="8">
        <v>115.5</v>
      </c>
      <c r="F40" s="8">
        <v>97.1</v>
      </c>
      <c r="G40" s="9">
        <v>4.7699999999999996</v>
      </c>
      <c r="H40" s="43">
        <f t="shared" si="5"/>
        <v>100</v>
      </c>
      <c r="I40" s="10">
        <f t="shared" si="6"/>
        <v>-2.8195798047607279</v>
      </c>
      <c r="J40" s="35"/>
      <c r="K40"/>
      <c r="L40"/>
      <c r="M40"/>
      <c r="N40"/>
      <c r="O40"/>
      <c r="P40"/>
    </row>
    <row r="41" spans="1:16" ht="15" hidden="1" x14ac:dyDescent="0.2">
      <c r="A41" s="11">
        <f>A40</f>
        <v>2008</v>
      </c>
      <c r="B41" t="s">
        <v>8</v>
      </c>
      <c r="C41" s="12">
        <v>108.6</v>
      </c>
      <c r="D41" s="12">
        <v>82.8</v>
      </c>
      <c r="E41" s="12">
        <v>115.4</v>
      </c>
      <c r="F41" s="12">
        <v>96.7</v>
      </c>
      <c r="G41" s="22">
        <v>4.93</v>
      </c>
      <c r="H41" s="44">
        <f t="shared" si="5"/>
        <v>100.18581398608603</v>
      </c>
      <c r="I41" s="4">
        <f t="shared" si="6"/>
        <v>0.18581398608603195</v>
      </c>
      <c r="J41" s="36"/>
    </row>
    <row r="42" spans="1:16" ht="15.75" hidden="1" x14ac:dyDescent="0.25">
      <c r="A42" s="13">
        <f t="shared" ref="A42:A51" si="7">A41</f>
        <v>2008</v>
      </c>
      <c r="B42" s="14" t="s">
        <v>9</v>
      </c>
      <c r="C42" s="15">
        <v>108.6</v>
      </c>
      <c r="D42" s="15">
        <v>95.6</v>
      </c>
      <c r="E42" s="15">
        <v>115.7</v>
      </c>
      <c r="F42" s="15">
        <v>97.6</v>
      </c>
      <c r="G42" s="16">
        <v>4.59</v>
      </c>
      <c r="H42" s="45">
        <f t="shared" si="5"/>
        <v>100.73046300994248</v>
      </c>
      <c r="I42" s="17">
        <f t="shared" si="6"/>
        <v>0.54363886680812168</v>
      </c>
      <c r="J42" s="55"/>
    </row>
    <row r="43" spans="1:16" ht="15" hidden="1" x14ac:dyDescent="0.2">
      <c r="A43" s="18">
        <f t="shared" si="7"/>
        <v>2008</v>
      </c>
      <c r="B43" s="19" t="s">
        <v>10</v>
      </c>
      <c r="C43" s="20">
        <v>109.9</v>
      </c>
      <c r="D43" s="20">
        <v>95.6</v>
      </c>
      <c r="E43" s="20">
        <v>117.1</v>
      </c>
      <c r="F43" s="20">
        <v>97.3</v>
      </c>
      <c r="G43" s="24">
        <v>4.55</v>
      </c>
      <c r="H43" s="46">
        <f t="shared" si="5"/>
        <v>101.56395404262641</v>
      </c>
      <c r="I43" s="21">
        <f t="shared" si="6"/>
        <v>0.82744683959375309</v>
      </c>
    </row>
    <row r="44" spans="1:16" ht="15" hidden="1" x14ac:dyDescent="0.2">
      <c r="A44" s="11">
        <f t="shared" si="7"/>
        <v>2008</v>
      </c>
      <c r="B44" t="s">
        <v>11</v>
      </c>
      <c r="C44" s="12">
        <v>109.9</v>
      </c>
      <c r="D44" s="12">
        <v>95.6</v>
      </c>
      <c r="E44" s="12">
        <v>117.6</v>
      </c>
      <c r="F44" s="12">
        <v>97.3</v>
      </c>
      <c r="G44" s="22">
        <v>4.72</v>
      </c>
      <c r="H44" s="44">
        <f t="shared" si="5"/>
        <v>101.85239097257276</v>
      </c>
      <c r="I44" s="4">
        <f t="shared" si="6"/>
        <v>0.28399537283207799</v>
      </c>
    </row>
    <row r="45" spans="1:16" ht="15" hidden="1" x14ac:dyDescent="0.2">
      <c r="A45" s="13">
        <f t="shared" si="7"/>
        <v>2008</v>
      </c>
      <c r="B45" s="14" t="s">
        <v>12</v>
      </c>
      <c r="C45" s="15">
        <v>109.9</v>
      </c>
      <c r="D45" s="15">
        <v>96.3</v>
      </c>
      <c r="E45" s="15">
        <v>118</v>
      </c>
      <c r="F45" s="15">
        <v>97.1</v>
      </c>
      <c r="G45" s="16">
        <v>4.9400000000000004</v>
      </c>
      <c r="H45" s="45">
        <f t="shared" si="5"/>
        <v>102.2365382721145</v>
      </c>
      <c r="I45" s="17">
        <f t="shared" si="6"/>
        <v>0.37716080680441016</v>
      </c>
      <c r="J45" s="29"/>
    </row>
    <row r="46" spans="1:16" ht="15" hidden="1" x14ac:dyDescent="0.2">
      <c r="A46" s="18">
        <f t="shared" si="7"/>
        <v>2008</v>
      </c>
      <c r="B46" s="23" t="s">
        <v>30</v>
      </c>
      <c r="C46" s="25">
        <v>111</v>
      </c>
      <c r="D46" s="20">
        <v>96.3</v>
      </c>
      <c r="E46" s="20">
        <v>118.4</v>
      </c>
      <c r="F46" s="20">
        <v>97</v>
      </c>
      <c r="G46" s="24">
        <v>5.22</v>
      </c>
      <c r="H46" s="46">
        <f t="shared" si="5"/>
        <v>103.35707602379499</v>
      </c>
      <c r="I46" s="21">
        <f t="shared" si="6"/>
        <v>1.0960247389226394</v>
      </c>
      <c r="J46" s="7"/>
    </row>
    <row r="47" spans="1:16" ht="15.75" hidden="1" x14ac:dyDescent="0.25">
      <c r="A47" s="11">
        <f t="shared" si="7"/>
        <v>2008</v>
      </c>
      <c r="B47" t="s">
        <v>13</v>
      </c>
      <c r="C47" s="12">
        <v>111</v>
      </c>
      <c r="D47" s="12">
        <v>96.3</v>
      </c>
      <c r="E47" s="12">
        <v>118.8</v>
      </c>
      <c r="F47" s="12">
        <v>97.2</v>
      </c>
      <c r="G47" s="22">
        <v>5.48</v>
      </c>
      <c r="H47" s="44">
        <f t="shared" si="5"/>
        <v>103.79039353999535</v>
      </c>
      <c r="I47" s="4">
        <f t="shared" si="6"/>
        <v>0.41924320314615171</v>
      </c>
      <c r="J47" s="30"/>
    </row>
    <row r="48" spans="1:16" ht="15" hidden="1" x14ac:dyDescent="0.2">
      <c r="A48" s="13">
        <f t="shared" si="7"/>
        <v>2008</v>
      </c>
      <c r="B48" s="14" t="s">
        <v>14</v>
      </c>
      <c r="C48" s="15">
        <v>111</v>
      </c>
      <c r="D48" s="15">
        <v>98.5</v>
      </c>
      <c r="E48" s="15">
        <v>118.4</v>
      </c>
      <c r="F48" s="15">
        <v>97.6</v>
      </c>
      <c r="G48" s="16">
        <v>5.36</v>
      </c>
      <c r="H48" s="45">
        <f t="shared" si="5"/>
        <v>103.78373901444698</v>
      </c>
      <c r="I48" s="17">
        <f t="shared" si="6"/>
        <v>-6.4115043034363405E-3</v>
      </c>
    </row>
    <row r="49" spans="1:10" ht="15" hidden="1" x14ac:dyDescent="0.2">
      <c r="A49" s="18">
        <f t="shared" si="7"/>
        <v>2008</v>
      </c>
      <c r="B49" s="19" t="s">
        <v>15</v>
      </c>
      <c r="C49" s="20">
        <v>112.4</v>
      </c>
      <c r="D49" s="20">
        <v>98.5</v>
      </c>
      <c r="E49" s="20">
        <v>118.6</v>
      </c>
      <c r="F49" s="20">
        <v>97.6</v>
      </c>
      <c r="G49" s="24">
        <v>5.15</v>
      </c>
      <c r="H49" s="46">
        <f t="shared" si="5"/>
        <v>104.36775874745034</v>
      </c>
      <c r="I49" s="21">
        <f t="shared" si="6"/>
        <v>0.56272758964876168</v>
      </c>
    </row>
    <row r="50" spans="1:10" ht="15" hidden="1" x14ac:dyDescent="0.2">
      <c r="A50" s="11">
        <f t="shared" si="7"/>
        <v>2008</v>
      </c>
      <c r="B50" t="s">
        <v>16</v>
      </c>
      <c r="C50" s="12">
        <v>112.4</v>
      </c>
      <c r="D50" s="12">
        <v>98.5</v>
      </c>
      <c r="E50" s="12">
        <v>119.1</v>
      </c>
      <c r="F50" s="12">
        <v>98</v>
      </c>
      <c r="G50" s="22">
        <v>5.15</v>
      </c>
      <c r="H50" s="44">
        <f t="shared" si="5"/>
        <v>104.44791443110756</v>
      </c>
      <c r="I50" s="4">
        <f t="shared" si="6"/>
        <v>7.6801192838859111E-2</v>
      </c>
    </row>
    <row r="51" spans="1:10" ht="15.75" hidden="1" thickBot="1" x14ac:dyDescent="0.25">
      <c r="A51" s="31">
        <f t="shared" si="7"/>
        <v>2008</v>
      </c>
      <c r="B51" s="32" t="s">
        <v>17</v>
      </c>
      <c r="C51" s="33">
        <v>112.4</v>
      </c>
      <c r="D51" s="33">
        <v>112.6</v>
      </c>
      <c r="E51" s="33">
        <v>118.9</v>
      </c>
      <c r="F51" s="33">
        <v>99.5</v>
      </c>
      <c r="G51" s="59">
        <v>5.45</v>
      </c>
      <c r="H51" s="47">
        <f t="shared" si="5"/>
        <v>106.0488006358957</v>
      </c>
      <c r="I51" s="34">
        <f t="shared" si="6"/>
        <v>1.5327124658329701</v>
      </c>
    </row>
    <row r="52" spans="1:10" ht="15" hidden="1" x14ac:dyDescent="0.2">
      <c r="A52" s="2">
        <v>2009</v>
      </c>
      <c r="B52" t="s">
        <v>7</v>
      </c>
      <c r="C52" s="12">
        <v>113.5</v>
      </c>
      <c r="D52" s="12">
        <v>112.6</v>
      </c>
      <c r="E52" s="12">
        <v>118.6</v>
      </c>
      <c r="F52" s="12">
        <v>100.3</v>
      </c>
      <c r="G52" s="107">
        <v>4.97</v>
      </c>
      <c r="H52" s="44">
        <f t="shared" si="5"/>
        <v>106.09217690036866</v>
      </c>
      <c r="I52" s="4">
        <f t="shared" si="6"/>
        <v>4.0902173539784419E-2</v>
      </c>
      <c r="J52" s="35"/>
    </row>
    <row r="53" spans="1:10" ht="15" hidden="1" x14ac:dyDescent="0.2">
      <c r="A53" s="11">
        <f>A52</f>
        <v>2009</v>
      </c>
      <c r="B53" t="s">
        <v>8</v>
      </c>
      <c r="C53" s="12">
        <v>113.5</v>
      </c>
      <c r="D53" s="12">
        <v>112.6</v>
      </c>
      <c r="E53" s="12">
        <v>118.2</v>
      </c>
      <c r="F53" s="12">
        <v>100.3</v>
      </c>
      <c r="G53" s="107">
        <v>4.4400000000000004</v>
      </c>
      <c r="H53" s="44">
        <f t="shared" si="5"/>
        <v>105.28323029142204</v>
      </c>
      <c r="I53" s="4">
        <f t="shared" si="6"/>
        <v>-0.76249411839884851</v>
      </c>
      <c r="J53" s="36"/>
    </row>
    <row r="54" spans="1:10" ht="15.75" hidden="1" x14ac:dyDescent="0.25">
      <c r="A54" s="13">
        <f t="shared" ref="A54:A63" si="8">A53</f>
        <v>2009</v>
      </c>
      <c r="B54" s="14" t="s">
        <v>9</v>
      </c>
      <c r="C54" s="15">
        <v>113.5</v>
      </c>
      <c r="D54" s="15">
        <v>105.1</v>
      </c>
      <c r="E54" s="15">
        <v>117.8</v>
      </c>
      <c r="F54" s="15">
        <v>98.7</v>
      </c>
      <c r="G54" s="108">
        <v>4.42</v>
      </c>
      <c r="H54" s="45">
        <f t="shared" si="5"/>
        <v>104.51445451577709</v>
      </c>
      <c r="I54" s="17">
        <f t="shared" si="6"/>
        <v>-0.73019774708374452</v>
      </c>
      <c r="J54" s="55"/>
    </row>
    <row r="55" spans="1:10" ht="15" hidden="1" x14ac:dyDescent="0.2">
      <c r="A55" s="18">
        <f t="shared" si="8"/>
        <v>2009</v>
      </c>
      <c r="B55" s="19" t="s">
        <v>10</v>
      </c>
      <c r="C55" s="20">
        <v>114.5</v>
      </c>
      <c r="D55" s="20">
        <v>105.1</v>
      </c>
      <c r="E55" s="20">
        <v>119.3</v>
      </c>
      <c r="F55" s="20">
        <v>100.5</v>
      </c>
      <c r="G55" s="109">
        <v>4.1500000000000004</v>
      </c>
      <c r="H55" s="46">
        <f t="shared" si="5"/>
        <v>105.04663813159006</v>
      </c>
      <c r="I55" s="21">
        <f t="shared" si="6"/>
        <v>0.50919618561720781</v>
      </c>
    </row>
    <row r="56" spans="1:10" ht="15" hidden="1" x14ac:dyDescent="0.2">
      <c r="A56" s="11">
        <f t="shared" si="8"/>
        <v>2009</v>
      </c>
      <c r="B56" t="s">
        <v>11</v>
      </c>
      <c r="C56" s="12">
        <v>114.5</v>
      </c>
      <c r="D56" s="12">
        <v>105.1</v>
      </c>
      <c r="E56" s="12">
        <v>119.7</v>
      </c>
      <c r="F56" s="12">
        <v>100.9</v>
      </c>
      <c r="G56" s="107">
        <v>3.93</v>
      </c>
      <c r="H56" s="44">
        <f t="shared" si="5"/>
        <v>104.79615045441524</v>
      </c>
      <c r="I56" s="4">
        <f t="shared" si="6"/>
        <v>-0.23845377789343034</v>
      </c>
      <c r="J56" s="75"/>
    </row>
    <row r="57" spans="1:10" ht="15" hidden="1" x14ac:dyDescent="0.2">
      <c r="A57" s="13">
        <f t="shared" si="8"/>
        <v>2009</v>
      </c>
      <c r="B57" s="14" t="s">
        <v>12</v>
      </c>
      <c r="C57" s="15">
        <v>114.5</v>
      </c>
      <c r="D57" s="15">
        <v>94.4</v>
      </c>
      <c r="E57" s="15">
        <v>119.6</v>
      </c>
      <c r="F57" s="15">
        <v>99.7</v>
      </c>
      <c r="G57" s="108">
        <v>3.89</v>
      </c>
      <c r="H57" s="45">
        <f t="shared" si="5"/>
        <v>103.83071178405029</v>
      </c>
      <c r="I57" s="17">
        <f t="shared" si="6"/>
        <v>-0.92125394509113934</v>
      </c>
      <c r="J57" s="76"/>
    </row>
    <row r="58" spans="1:10" ht="15" hidden="1" x14ac:dyDescent="0.2">
      <c r="A58" s="18">
        <f t="shared" si="8"/>
        <v>2009</v>
      </c>
      <c r="B58" s="23" t="s">
        <v>30</v>
      </c>
      <c r="C58" s="20">
        <v>115.6</v>
      </c>
      <c r="D58" s="20">
        <v>94.4</v>
      </c>
      <c r="E58" s="20">
        <v>119.9</v>
      </c>
      <c r="F58" s="20">
        <v>99.9</v>
      </c>
      <c r="G58" s="109">
        <v>3.81</v>
      </c>
      <c r="H58" s="46">
        <f t="shared" si="5"/>
        <v>104.44605142466827</v>
      </c>
      <c r="I58" s="21">
        <f t="shared" si="6"/>
        <v>0.59263740953425603</v>
      </c>
      <c r="J58" s="77"/>
    </row>
    <row r="59" spans="1:10" ht="15" hidden="1" x14ac:dyDescent="0.2">
      <c r="A59" s="11">
        <f t="shared" si="8"/>
        <v>2009</v>
      </c>
      <c r="B59" t="s">
        <v>13</v>
      </c>
      <c r="C59" s="12">
        <v>115.6</v>
      </c>
      <c r="D59" s="12">
        <v>94.4</v>
      </c>
      <c r="E59" s="12">
        <v>120.2</v>
      </c>
      <c r="F59" s="12">
        <v>98.5</v>
      </c>
      <c r="G59" s="107">
        <v>3.69</v>
      </c>
      <c r="H59" s="48">
        <f t="shared" si="5"/>
        <v>104.1491461626774</v>
      </c>
      <c r="I59" s="4">
        <f t="shared" si="6"/>
        <v>-0.28426662180237161</v>
      </c>
      <c r="J59" s="36"/>
    </row>
    <row r="60" spans="1:10" ht="15" hidden="1" x14ac:dyDescent="0.2">
      <c r="A60" s="13">
        <f t="shared" si="8"/>
        <v>2009</v>
      </c>
      <c r="B60" s="14" t="s">
        <v>14</v>
      </c>
      <c r="C60" s="15">
        <v>115.6</v>
      </c>
      <c r="D60" s="15">
        <v>90.3</v>
      </c>
      <c r="E60" s="15">
        <v>119.6</v>
      </c>
      <c r="F60" s="15">
        <v>98.3</v>
      </c>
      <c r="G60" s="108">
        <v>3.46</v>
      </c>
      <c r="H60" s="56">
        <f t="shared" si="5"/>
        <v>103.44716793884997</v>
      </c>
      <c r="I60" s="37">
        <f t="shared" si="6"/>
        <v>-0.67401246163934814</v>
      </c>
      <c r="J60" s="35"/>
    </row>
    <row r="61" spans="1:10" ht="15" hidden="1" x14ac:dyDescent="0.2">
      <c r="A61" s="18">
        <f t="shared" si="8"/>
        <v>2009</v>
      </c>
      <c r="B61" s="19" t="s">
        <v>15</v>
      </c>
      <c r="C61" s="20">
        <v>115.8</v>
      </c>
      <c r="D61" s="25">
        <v>90.3</v>
      </c>
      <c r="E61" s="20">
        <v>119.9</v>
      </c>
      <c r="F61" s="20">
        <v>97.5</v>
      </c>
      <c r="G61" s="109">
        <v>3.36</v>
      </c>
      <c r="H61" s="57">
        <f t="shared" si="5"/>
        <v>103.36663495130347</v>
      </c>
      <c r="I61" s="19">
        <f t="shared" si="6"/>
        <v>-7.7849388389356164E-2</v>
      </c>
      <c r="J61" s="77"/>
    </row>
    <row r="62" spans="1:10" ht="15" hidden="1" x14ac:dyDescent="0.2">
      <c r="A62" s="11">
        <f t="shared" si="8"/>
        <v>2009</v>
      </c>
      <c r="B62" t="s">
        <v>16</v>
      </c>
      <c r="C62" s="12">
        <v>115.8</v>
      </c>
      <c r="D62" s="58">
        <v>90.3</v>
      </c>
      <c r="E62" s="12">
        <v>120.1</v>
      </c>
      <c r="F62" s="12">
        <v>97.4</v>
      </c>
      <c r="G62" s="107">
        <v>3.23</v>
      </c>
      <c r="H62" s="56">
        <f t="shared" si="5"/>
        <v>103.18114502437211</v>
      </c>
      <c r="I62">
        <f t="shared" si="6"/>
        <v>-0.17944854934935117</v>
      </c>
      <c r="J62" s="36"/>
    </row>
    <row r="63" spans="1:10" ht="16.5" hidden="1" thickBot="1" x14ac:dyDescent="0.3">
      <c r="A63" s="31">
        <f t="shared" si="8"/>
        <v>2009</v>
      </c>
      <c r="B63" s="32" t="s">
        <v>17</v>
      </c>
      <c r="C63" s="33">
        <v>115.8</v>
      </c>
      <c r="D63">
        <v>93.6</v>
      </c>
      <c r="E63" s="101">
        <v>120.1</v>
      </c>
      <c r="F63" s="33">
        <v>97</v>
      </c>
      <c r="G63" s="102">
        <v>3.69</v>
      </c>
      <c r="H63" s="103">
        <f t="shared" si="5"/>
        <v>104.05413322536</v>
      </c>
      <c r="I63" s="40">
        <f t="shared" si="6"/>
        <v>0.84607337976496055</v>
      </c>
      <c r="J63" s="55"/>
    </row>
    <row r="64" spans="1:10" ht="15.75" hidden="1" x14ac:dyDescent="0.25">
      <c r="A64" s="2">
        <v>2010</v>
      </c>
      <c r="B64" t="s">
        <v>7</v>
      </c>
      <c r="C64" s="58">
        <v>116.7</v>
      </c>
      <c r="D64" s="106">
        <v>93.6</v>
      </c>
      <c r="E64" s="106">
        <v>120.1</v>
      </c>
      <c r="F64" s="106">
        <v>96.9</v>
      </c>
      <c r="G64" s="60">
        <v>3.39</v>
      </c>
      <c r="H64" s="48">
        <f t="shared" si="5"/>
        <v>104.16711890346113</v>
      </c>
      <c r="I64" s="39"/>
      <c r="J64" s="55"/>
    </row>
    <row r="65" spans="1:10" ht="15.75" hidden="1" x14ac:dyDescent="0.25">
      <c r="A65" s="11">
        <v>2010</v>
      </c>
      <c r="B65" t="s">
        <v>8</v>
      </c>
      <c r="C65" s="12">
        <v>116.7</v>
      </c>
      <c r="D65" s="12">
        <v>93.6</v>
      </c>
      <c r="E65" s="12">
        <v>119.9</v>
      </c>
      <c r="F65" s="12">
        <v>96.8</v>
      </c>
      <c r="G65" s="107">
        <v>3.32</v>
      </c>
      <c r="H65" s="44">
        <f t="shared" si="5"/>
        <v>104.03851045982636</v>
      </c>
      <c r="I65" s="39"/>
      <c r="J65" s="55"/>
    </row>
    <row r="66" spans="1:10" ht="15.75" hidden="1" x14ac:dyDescent="0.25">
      <c r="A66" s="13">
        <v>2010</v>
      </c>
      <c r="B66" s="14" t="s">
        <v>9</v>
      </c>
      <c r="C66" s="15">
        <v>116.7</v>
      </c>
      <c r="D66" s="15">
        <v>92.1</v>
      </c>
      <c r="E66" s="15">
        <v>120.2</v>
      </c>
      <c r="F66" s="15">
        <v>97.8</v>
      </c>
      <c r="G66" s="108">
        <v>3.13</v>
      </c>
      <c r="H66" s="45">
        <f t="shared" si="5"/>
        <v>103.77735204696242</v>
      </c>
      <c r="I66" s="39"/>
      <c r="J66" s="55"/>
    </row>
    <row r="67" spans="1:10" ht="15.75" hidden="1" x14ac:dyDescent="0.25">
      <c r="A67" s="18">
        <v>2010</v>
      </c>
      <c r="B67" s="19" t="s">
        <v>10</v>
      </c>
      <c r="C67" s="20">
        <v>117.1</v>
      </c>
      <c r="D67" s="20">
        <v>92.2</v>
      </c>
      <c r="E67" s="20">
        <v>121.6</v>
      </c>
      <c r="F67" s="20">
        <v>98.1</v>
      </c>
      <c r="G67" s="109">
        <v>3</v>
      </c>
      <c r="H67" s="46">
        <f t="shared" si="5"/>
        <v>103.98427004020188</v>
      </c>
      <c r="I67" s="39"/>
      <c r="J67" s="55"/>
    </row>
    <row r="68" spans="1:10" ht="15.75" hidden="1" x14ac:dyDescent="0.25">
      <c r="A68" s="11">
        <v>2010</v>
      </c>
      <c r="B68" t="s">
        <v>11</v>
      </c>
      <c r="C68" s="12">
        <v>117.1</v>
      </c>
      <c r="D68" s="12">
        <v>92.2</v>
      </c>
      <c r="E68" s="12">
        <v>122.3</v>
      </c>
      <c r="F68" s="12">
        <v>98.4</v>
      </c>
      <c r="G68" s="107">
        <v>2.9</v>
      </c>
      <c r="H68" s="44">
        <f t="shared" si="5"/>
        <v>103.92296095416047</v>
      </c>
      <c r="I68" s="39"/>
      <c r="J68" s="55"/>
    </row>
    <row r="69" spans="1:10" ht="15.75" hidden="1" x14ac:dyDescent="0.25">
      <c r="A69" s="13">
        <v>2010</v>
      </c>
      <c r="B69" s="14" t="s">
        <v>12</v>
      </c>
      <c r="C69" s="15">
        <v>117.1</v>
      </c>
      <c r="D69" s="15">
        <v>93.1</v>
      </c>
      <c r="E69" s="15">
        <v>122.5</v>
      </c>
      <c r="F69" s="15">
        <v>98.9</v>
      </c>
      <c r="G69" s="108">
        <v>2.75</v>
      </c>
      <c r="H69" s="45">
        <f t="shared" si="5"/>
        <v>103.83513028075595</v>
      </c>
      <c r="I69" s="39"/>
      <c r="J69" s="55"/>
    </row>
    <row r="70" spans="1:10" ht="15.75" hidden="1" x14ac:dyDescent="0.25">
      <c r="A70" s="18">
        <v>2010</v>
      </c>
      <c r="B70" s="23" t="s">
        <v>61</v>
      </c>
      <c r="C70" s="20">
        <v>118.4</v>
      </c>
      <c r="D70" s="20">
        <v>93.1</v>
      </c>
      <c r="E70" s="20">
        <v>122.5</v>
      </c>
      <c r="F70" s="20">
        <v>98.7</v>
      </c>
      <c r="G70" s="109">
        <v>2.42</v>
      </c>
      <c r="H70" s="46">
        <f t="shared" si="5"/>
        <v>104.14425254560685</v>
      </c>
      <c r="I70" s="39"/>
      <c r="J70" s="55"/>
    </row>
    <row r="71" spans="1:10" ht="15.75" hidden="1" x14ac:dyDescent="0.25">
      <c r="A71" s="11">
        <v>2010</v>
      </c>
      <c r="B71" t="s">
        <v>13</v>
      </c>
      <c r="C71" s="12">
        <v>118.4</v>
      </c>
      <c r="D71" s="12">
        <v>93.1</v>
      </c>
      <c r="E71" s="12">
        <v>122.3</v>
      </c>
      <c r="F71" s="12">
        <v>100.4</v>
      </c>
      <c r="G71" s="107">
        <v>2.4900000000000002</v>
      </c>
      <c r="H71" s="48">
        <f t="shared" si="5"/>
        <v>104.40647073685754</v>
      </c>
      <c r="I71" s="39"/>
      <c r="J71" s="55"/>
    </row>
    <row r="72" spans="1:10" ht="15.75" hidden="1" x14ac:dyDescent="0.25">
      <c r="A72" s="13">
        <v>2010</v>
      </c>
      <c r="B72" s="14" t="s">
        <v>14</v>
      </c>
      <c r="C72" s="15">
        <v>118.4</v>
      </c>
      <c r="D72" s="15">
        <v>94.4</v>
      </c>
      <c r="E72" s="15">
        <v>122.3</v>
      </c>
      <c r="F72" s="15">
        <v>100.4</v>
      </c>
      <c r="G72" s="108">
        <v>2.52</v>
      </c>
      <c r="H72" s="56">
        <f t="shared" si="5"/>
        <v>104.54469879264096</v>
      </c>
      <c r="I72" s="39"/>
      <c r="J72" s="55"/>
    </row>
    <row r="73" spans="1:10" ht="15.75" hidden="1" x14ac:dyDescent="0.25">
      <c r="A73" s="18">
        <v>2010</v>
      </c>
      <c r="B73" s="19" t="s">
        <v>15</v>
      </c>
      <c r="C73" s="20">
        <v>118.5</v>
      </c>
      <c r="D73" s="25">
        <v>94.4</v>
      </c>
      <c r="E73" s="20">
        <v>122.7</v>
      </c>
      <c r="F73" s="20">
        <v>99.5</v>
      </c>
      <c r="G73" s="109">
        <v>2.31</v>
      </c>
      <c r="H73" s="57">
        <f t="shared" si="5"/>
        <v>104.23761867390358</v>
      </c>
      <c r="I73" s="39"/>
      <c r="J73" s="55"/>
    </row>
    <row r="74" spans="1:10" ht="15.75" hidden="1" x14ac:dyDescent="0.25">
      <c r="A74" s="11">
        <v>2010</v>
      </c>
      <c r="B74" t="s">
        <v>16</v>
      </c>
      <c r="C74" s="12">
        <v>118.5</v>
      </c>
      <c r="D74" s="58">
        <v>94.5</v>
      </c>
      <c r="E74" s="12">
        <v>123.2</v>
      </c>
      <c r="F74" s="12">
        <v>99.4</v>
      </c>
      <c r="G74" s="107">
        <v>2.42</v>
      </c>
      <c r="H74" s="56">
        <f t="shared" si="5"/>
        <v>104.43495300502208</v>
      </c>
      <c r="I74" s="39"/>
      <c r="J74" s="55"/>
    </row>
    <row r="75" spans="1:10" ht="16.5" hidden="1" thickBot="1" x14ac:dyDescent="0.3">
      <c r="A75" s="31">
        <v>2010</v>
      </c>
      <c r="B75" s="32" t="s">
        <v>17</v>
      </c>
      <c r="C75" s="33">
        <v>118.5</v>
      </c>
      <c r="D75">
        <v>93.8</v>
      </c>
      <c r="E75" s="101">
        <v>123.1</v>
      </c>
      <c r="F75" s="33">
        <v>98.7</v>
      </c>
      <c r="G75" s="102">
        <v>2.85</v>
      </c>
      <c r="H75" s="103">
        <f t="shared" si="5"/>
        <v>104.93537278499915</v>
      </c>
      <c r="I75" s="39"/>
      <c r="J75" s="55"/>
    </row>
    <row r="76" spans="1:10" ht="15" hidden="1" x14ac:dyDescent="0.2">
      <c r="A76" s="2">
        <v>2011</v>
      </c>
      <c r="B76" t="s">
        <v>7</v>
      </c>
      <c r="C76" s="58">
        <v>119.4</v>
      </c>
      <c r="D76" s="106">
        <v>93.8</v>
      </c>
      <c r="E76" s="106">
        <v>123.2</v>
      </c>
      <c r="F76" s="106">
        <v>97.8</v>
      </c>
      <c r="G76" s="60">
        <v>2.77</v>
      </c>
      <c r="H76" s="48">
        <f t="shared" ref="H76:H87" si="9">100+((C76-$C$40)/$C$40*100*$C$2)+((D76-$D$40)/$D$40*100*$D$2)+((E76-$E$40)/$E$40*100*$E$2)+((F76-$F$40)/$F$40*100*$F$2)+((G76-$G$40)/$G$40*100*$G$2)</f>
        <v>105.29661253453993</v>
      </c>
      <c r="I76" s="52">
        <f>(H112-H63)/H63*100</f>
        <v>4.2844412282671742</v>
      </c>
      <c r="J76" s="35"/>
    </row>
    <row r="77" spans="1:10" ht="15" hidden="1" x14ac:dyDescent="0.2">
      <c r="A77" s="11">
        <f>A76</f>
        <v>2011</v>
      </c>
      <c r="B77" t="s">
        <v>8</v>
      </c>
      <c r="C77" s="58">
        <v>119.4</v>
      </c>
      <c r="D77" s="58">
        <v>93.6</v>
      </c>
      <c r="E77" s="58">
        <v>123.3</v>
      </c>
      <c r="F77" s="58">
        <v>98.2</v>
      </c>
      <c r="G77" s="107">
        <v>2.68</v>
      </c>
      <c r="H77" s="48">
        <f t="shared" si="9"/>
        <v>105.19903116170703</v>
      </c>
      <c r="I77" s="52">
        <f t="shared" ref="I77:I87" si="10">(H113-H112)/H112*100</f>
        <v>0.15249695398819202</v>
      </c>
      <c r="J77" s="36"/>
    </row>
    <row r="78" spans="1:10" ht="15.75" hidden="1" x14ac:dyDescent="0.25">
      <c r="A78" s="13">
        <f t="shared" ref="A78:A87" si="11">A77</f>
        <v>2011</v>
      </c>
      <c r="B78" s="14" t="s">
        <v>9</v>
      </c>
      <c r="C78" s="105">
        <v>119.4</v>
      </c>
      <c r="D78" s="105">
        <v>100.7</v>
      </c>
      <c r="E78" s="105">
        <v>123.4</v>
      </c>
      <c r="F78" s="105">
        <v>99</v>
      </c>
      <c r="G78" s="108">
        <v>2.91</v>
      </c>
      <c r="H78" s="111">
        <f t="shared" si="9"/>
        <v>106.14123161796554</v>
      </c>
      <c r="I78" s="53">
        <f t="shared" si="10"/>
        <v>0.18573710386101774</v>
      </c>
      <c r="J78" s="55"/>
    </row>
    <row r="79" spans="1:10" ht="15" hidden="1" x14ac:dyDescent="0.2">
      <c r="A79" s="18">
        <f t="shared" si="11"/>
        <v>2011</v>
      </c>
      <c r="B79" s="19" t="s">
        <v>10</v>
      </c>
      <c r="C79" s="25">
        <v>119.8</v>
      </c>
      <c r="D79" s="25">
        <v>100.7</v>
      </c>
      <c r="E79" s="25">
        <v>124.9</v>
      </c>
      <c r="F79" s="25">
        <v>98.5</v>
      </c>
      <c r="G79" s="109">
        <v>2.96</v>
      </c>
      <c r="H79" s="112">
        <f t="shared" si="9"/>
        <v>106.53045709618947</v>
      </c>
      <c r="I79" s="54">
        <f t="shared" si="10"/>
        <v>0.29290558994311411</v>
      </c>
    </row>
    <row r="80" spans="1:10" ht="15" hidden="1" x14ac:dyDescent="0.2">
      <c r="A80" s="11">
        <f t="shared" si="11"/>
        <v>2011</v>
      </c>
      <c r="B80" t="s">
        <v>11</v>
      </c>
      <c r="C80" s="58">
        <f>C79</f>
        <v>119.8</v>
      </c>
      <c r="D80" s="58">
        <v>100.3</v>
      </c>
      <c r="E80" s="58">
        <v>125.6</v>
      </c>
      <c r="F80" s="58">
        <v>98.5</v>
      </c>
      <c r="G80" s="107">
        <v>3.07</v>
      </c>
      <c r="H80" s="48">
        <f t="shared" si="9"/>
        <v>106.71744262000846</v>
      </c>
      <c r="I80" s="52">
        <f t="shared" si="10"/>
        <v>-6.1474215750348379E-2</v>
      </c>
      <c r="J80" s="75"/>
    </row>
    <row r="81" spans="1:10" ht="15" hidden="1" x14ac:dyDescent="0.2">
      <c r="A81" s="13">
        <f t="shared" si="11"/>
        <v>2011</v>
      </c>
      <c r="B81" s="14" t="s">
        <v>12</v>
      </c>
      <c r="C81" s="105">
        <f t="shared" ref="C81:C87" si="12">C79</f>
        <v>119.8</v>
      </c>
      <c r="D81" s="105">
        <v>101.9</v>
      </c>
      <c r="E81" s="105">
        <v>126.1</v>
      </c>
      <c r="F81" s="105">
        <v>97.8</v>
      </c>
      <c r="G81" s="108">
        <v>3</v>
      </c>
      <c r="H81" s="111">
        <f t="shared" si="9"/>
        <v>106.69752969286036</v>
      </c>
      <c r="I81" s="53">
        <f t="shared" si="10"/>
        <v>-0.15518585865048407</v>
      </c>
      <c r="J81" s="76"/>
    </row>
    <row r="82" spans="1:10" ht="15" hidden="1" x14ac:dyDescent="0.2">
      <c r="A82" s="18">
        <f t="shared" si="11"/>
        <v>2011</v>
      </c>
      <c r="B82" s="23" t="s">
        <v>30</v>
      </c>
      <c r="C82" s="25">
        <v>120.4</v>
      </c>
      <c r="D82" s="25">
        <v>101.9</v>
      </c>
      <c r="E82" s="25">
        <v>126.3</v>
      </c>
      <c r="F82" s="25">
        <v>97</v>
      </c>
      <c r="G82" s="109">
        <v>2.85</v>
      </c>
      <c r="H82" s="112">
        <f t="shared" si="9"/>
        <v>106.78628964062369</v>
      </c>
      <c r="I82" s="54">
        <f t="shared" si="10"/>
        <v>6.4675907920624776E-2</v>
      </c>
      <c r="J82" s="77"/>
    </row>
    <row r="83" spans="1:10" ht="15" hidden="1" x14ac:dyDescent="0.2">
      <c r="A83" s="11">
        <f t="shared" si="11"/>
        <v>2011</v>
      </c>
      <c r="B83" t="s">
        <v>13</v>
      </c>
      <c r="C83" s="58">
        <f>C82</f>
        <v>120.4</v>
      </c>
      <c r="D83" s="58">
        <v>101.9</v>
      </c>
      <c r="E83" s="58">
        <v>126</v>
      </c>
      <c r="F83" s="58">
        <v>96.9</v>
      </c>
      <c r="G83" s="60">
        <v>2.89</v>
      </c>
      <c r="H83" s="48">
        <f t="shared" si="9"/>
        <v>106.81131456571661</v>
      </c>
      <c r="I83" s="52">
        <f t="shared" si="10"/>
        <v>-1.1160524084463594E-2</v>
      </c>
      <c r="J83" s="36"/>
    </row>
    <row r="84" spans="1:10" ht="15" hidden="1" x14ac:dyDescent="0.2">
      <c r="A84" s="13">
        <f t="shared" si="11"/>
        <v>2011</v>
      </c>
      <c r="B84" s="14" t="s">
        <v>14</v>
      </c>
      <c r="C84" s="105">
        <f t="shared" si="12"/>
        <v>120.4</v>
      </c>
      <c r="D84" s="105">
        <v>103.2</v>
      </c>
      <c r="E84" s="105">
        <v>125.9</v>
      </c>
      <c r="F84" s="105">
        <v>96.6</v>
      </c>
      <c r="G84" s="108">
        <v>2.7</v>
      </c>
      <c r="H84" s="56">
        <f t="shared" si="9"/>
        <v>106.58800327714586</v>
      </c>
      <c r="I84" s="37">
        <f t="shared" si="10"/>
        <v>-0.1161289957688357</v>
      </c>
      <c r="J84" s="35"/>
    </row>
    <row r="85" spans="1:10" ht="15" hidden="1" x14ac:dyDescent="0.2">
      <c r="A85" s="18">
        <f t="shared" si="11"/>
        <v>2011</v>
      </c>
      <c r="B85" s="19" t="s">
        <v>15</v>
      </c>
      <c r="C85" s="25">
        <v>120.8</v>
      </c>
      <c r="D85" s="25">
        <v>103.2</v>
      </c>
      <c r="E85" s="25">
        <v>125.9</v>
      </c>
      <c r="F85" s="25">
        <v>97.2</v>
      </c>
      <c r="G85" s="109">
        <v>2.39</v>
      </c>
      <c r="H85" s="57">
        <f t="shared" si="9"/>
        <v>106.44532902460872</v>
      </c>
      <c r="I85" s="38">
        <f t="shared" si="10"/>
        <v>0.16828584142472497</v>
      </c>
      <c r="J85" s="77"/>
    </row>
    <row r="86" spans="1:10" ht="15" hidden="1" x14ac:dyDescent="0.2">
      <c r="A86" s="11">
        <f t="shared" si="11"/>
        <v>2011</v>
      </c>
      <c r="B86" t="s">
        <v>16</v>
      </c>
      <c r="C86" s="58">
        <f>C85</f>
        <v>120.8</v>
      </c>
      <c r="D86" s="58">
        <v>103.2</v>
      </c>
      <c r="E86" s="58">
        <v>126.3</v>
      </c>
      <c r="F86" s="58">
        <v>96.9</v>
      </c>
      <c r="G86" s="107">
        <v>2.19</v>
      </c>
      <c r="H86" s="56">
        <f t="shared" si="9"/>
        <v>106.1521008240374</v>
      </c>
      <c r="I86" s="39">
        <f t="shared" si="10"/>
        <v>-7.1613515771920084E-3</v>
      </c>
      <c r="J86" s="36"/>
    </row>
    <row r="87" spans="1:10" ht="15.75" hidden="1" thickBot="1" x14ac:dyDescent="0.25">
      <c r="A87" s="31">
        <f t="shared" si="11"/>
        <v>2011</v>
      </c>
      <c r="B87" s="32" t="s">
        <v>17</v>
      </c>
      <c r="C87" s="101">
        <f t="shared" si="12"/>
        <v>120.8</v>
      </c>
      <c r="D87" s="101">
        <v>103.4</v>
      </c>
      <c r="E87" s="101">
        <v>126.5</v>
      </c>
      <c r="F87" s="101">
        <v>98.1</v>
      </c>
      <c r="G87" s="102">
        <v>2.54</v>
      </c>
      <c r="H87" s="103">
        <f t="shared" si="9"/>
        <v>106.81938876171512</v>
      </c>
      <c r="I87" s="40">
        <f t="shared" si="10"/>
        <v>0.29366492198800526</v>
      </c>
      <c r="J87" s="36"/>
    </row>
    <row r="88" spans="1:10" ht="15" hidden="1" x14ac:dyDescent="0.2">
      <c r="A88" s="2">
        <v>2012</v>
      </c>
      <c r="B88" t="s">
        <v>7</v>
      </c>
      <c r="C88" s="25">
        <v>121.3</v>
      </c>
      <c r="D88" s="106">
        <v>103.4</v>
      </c>
      <c r="E88" s="58">
        <v>126.4</v>
      </c>
      <c r="F88" s="58">
        <v>97.6</v>
      </c>
      <c r="G88" s="60">
        <v>2.23</v>
      </c>
      <c r="H88" s="123">
        <f t="shared" ref="H88:H99" si="13">100+((C88-$C$40)/$C$40*100*$C$2)+((D88-$D$40)/$D$40*100*$D$2)+((E88-$E$40)/$E$40*100*$E$2)+((F88-$F$40)/$F$40*100*$F$2)+((G88-$G$40)/$G$40*100*$G$2)</f>
        <v>106.61825212976041</v>
      </c>
      <c r="I88" s="52">
        <f>(H76-H123)/H123*100</f>
        <v>-3.7415477582349621</v>
      </c>
      <c r="J88" s="35"/>
    </row>
    <row r="89" spans="1:10" ht="15" hidden="1" x14ac:dyDescent="0.2">
      <c r="A89" s="11">
        <f>A88</f>
        <v>2012</v>
      </c>
      <c r="B89" t="s">
        <v>8</v>
      </c>
      <c r="C89">
        <f>C88</f>
        <v>121.3</v>
      </c>
      <c r="D89" s="58">
        <v>103.4</v>
      </c>
      <c r="E89" s="58">
        <v>126.4</v>
      </c>
      <c r="F89" s="58">
        <v>98.3</v>
      </c>
      <c r="G89" s="107">
        <v>1.87</v>
      </c>
      <c r="H89" s="123">
        <f t="shared" si="13"/>
        <v>106.16204087118628</v>
      </c>
      <c r="I89" s="52">
        <f t="shared" ref="I89:I99" si="14">(H77-H76)/H76*100</f>
        <v>-9.267285099119088E-2</v>
      </c>
      <c r="J89" s="36"/>
    </row>
    <row r="90" spans="1:10" ht="15.75" hidden="1" x14ac:dyDescent="0.25">
      <c r="A90" s="13">
        <f t="shared" ref="A90:A99" si="15">A89</f>
        <v>2012</v>
      </c>
      <c r="B90" s="14" t="s">
        <v>9</v>
      </c>
      <c r="C90" s="14">
        <f>C88</f>
        <v>121.3</v>
      </c>
      <c r="D90" s="105">
        <v>104.6</v>
      </c>
      <c r="E90" s="105">
        <v>126.8</v>
      </c>
      <c r="F90" s="105">
        <v>99.2</v>
      </c>
      <c r="G90" s="108">
        <v>1.97</v>
      </c>
      <c r="H90" s="124">
        <f t="shared" si="13"/>
        <v>106.51960469876968</v>
      </c>
      <c r="I90" s="53">
        <f t="shared" si="14"/>
        <v>0.89563605848252748</v>
      </c>
      <c r="J90" s="55"/>
    </row>
    <row r="91" spans="1:10" ht="15" hidden="1" x14ac:dyDescent="0.2">
      <c r="A91" s="18">
        <f t="shared" si="15"/>
        <v>2012</v>
      </c>
      <c r="B91" s="19" t="s">
        <v>10</v>
      </c>
      <c r="C91" s="58">
        <v>122.1</v>
      </c>
      <c r="D91" s="58">
        <v>104.6</v>
      </c>
      <c r="E91" s="58">
        <v>128.4</v>
      </c>
      <c r="F91" s="58">
        <v>99.9</v>
      </c>
      <c r="G91" s="109">
        <v>2</v>
      </c>
      <c r="H91" s="125">
        <f t="shared" si="13"/>
        <v>107.26131661920911</v>
      </c>
      <c r="I91" s="54">
        <f t="shared" si="14"/>
        <v>0.36670525891847672</v>
      </c>
    </row>
    <row r="92" spans="1:10" ht="15" hidden="1" x14ac:dyDescent="0.2">
      <c r="A92" s="11">
        <f t="shared" si="15"/>
        <v>2012</v>
      </c>
      <c r="B92" t="s">
        <v>11</v>
      </c>
      <c r="C92" s="58">
        <f>C91</f>
        <v>122.1</v>
      </c>
      <c r="D92" s="58">
        <v>104.6</v>
      </c>
      <c r="E92" s="58">
        <v>129</v>
      </c>
      <c r="F92" s="58">
        <v>99.3</v>
      </c>
      <c r="G92" s="107">
        <v>1.94</v>
      </c>
      <c r="H92" s="123">
        <f t="shared" si="13"/>
        <v>107.15822758445266</v>
      </c>
      <c r="I92" s="52">
        <f t="shared" si="14"/>
        <v>0.17552306534285797</v>
      </c>
      <c r="J92" s="75"/>
    </row>
    <row r="93" spans="1:10" ht="15" hidden="1" x14ac:dyDescent="0.2">
      <c r="A93" s="13">
        <f t="shared" si="15"/>
        <v>2012</v>
      </c>
      <c r="B93" s="14" t="s">
        <v>12</v>
      </c>
      <c r="C93" s="105">
        <f t="shared" ref="C93:C99" si="16">C91</f>
        <v>122.1</v>
      </c>
      <c r="D93" s="105">
        <v>100.4</v>
      </c>
      <c r="E93" s="105">
        <v>129</v>
      </c>
      <c r="F93" s="105">
        <v>99.8</v>
      </c>
      <c r="G93" s="108">
        <v>1.81</v>
      </c>
      <c r="H93" s="124">
        <f t="shared" si="13"/>
        <v>106.71459738289421</v>
      </c>
      <c r="I93" s="53">
        <f t="shared" si="14"/>
        <v>-1.865948682728738E-2</v>
      </c>
      <c r="J93" s="76"/>
    </row>
    <row r="94" spans="1:10" ht="15" hidden="1" x14ac:dyDescent="0.2">
      <c r="A94" s="18">
        <f t="shared" si="15"/>
        <v>2012</v>
      </c>
      <c r="B94" s="23" t="s">
        <v>30</v>
      </c>
      <c r="C94" s="116">
        <v>122.6</v>
      </c>
      <c r="D94" s="116">
        <v>100.4</v>
      </c>
      <c r="E94" s="116">
        <v>129</v>
      </c>
      <c r="F94" s="116">
        <v>99.6</v>
      </c>
      <c r="G94" s="117">
        <v>1.54</v>
      </c>
      <c r="H94" s="125">
        <f t="shared" si="13"/>
        <v>106.61084915189747</v>
      </c>
      <c r="I94" s="54">
        <f t="shared" si="14"/>
        <v>8.3188381229481453E-2</v>
      </c>
      <c r="J94" s="77"/>
    </row>
    <row r="95" spans="1:10" ht="15" hidden="1" x14ac:dyDescent="0.2">
      <c r="A95" s="11">
        <f t="shared" si="15"/>
        <v>2012</v>
      </c>
      <c r="B95" t="s">
        <v>13</v>
      </c>
      <c r="C95" s="58">
        <f>C94</f>
        <v>122.6</v>
      </c>
      <c r="D95" s="116">
        <v>100.4</v>
      </c>
      <c r="E95" s="58">
        <v>128.80000000000001</v>
      </c>
      <c r="F95" s="58">
        <v>101</v>
      </c>
      <c r="G95" s="118">
        <v>1.64</v>
      </c>
      <c r="H95" s="123">
        <f t="shared" si="13"/>
        <v>106.88619651685872</v>
      </c>
      <c r="I95" s="52">
        <f t="shared" si="14"/>
        <v>2.3434586197478988E-2</v>
      </c>
      <c r="J95" s="36"/>
    </row>
    <row r="96" spans="1:10" ht="15" hidden="1" x14ac:dyDescent="0.2">
      <c r="A96" s="13">
        <f t="shared" si="15"/>
        <v>2012</v>
      </c>
      <c r="B96" s="14" t="s">
        <v>14</v>
      </c>
      <c r="C96" s="105">
        <f t="shared" si="16"/>
        <v>122.6</v>
      </c>
      <c r="D96" s="119">
        <v>102</v>
      </c>
      <c r="E96" s="105">
        <v>128.80000000000001</v>
      </c>
      <c r="F96" s="105">
        <v>101.1</v>
      </c>
      <c r="G96" s="120">
        <v>1.44</v>
      </c>
      <c r="H96" s="126">
        <f t="shared" si="13"/>
        <v>106.71893615880025</v>
      </c>
      <c r="I96" s="37">
        <f t="shared" si="14"/>
        <v>-0.20907081752407539</v>
      </c>
      <c r="J96" s="35"/>
    </row>
    <row r="97" spans="1:10" ht="15" hidden="1" x14ac:dyDescent="0.2">
      <c r="A97" s="18">
        <f t="shared" si="15"/>
        <v>2012</v>
      </c>
      <c r="B97" t="s">
        <v>15</v>
      </c>
      <c r="C97" s="58">
        <v>122.8</v>
      </c>
      <c r="D97" s="116">
        <v>102</v>
      </c>
      <c r="E97" s="58">
        <v>129.19999999999999</v>
      </c>
      <c r="F97" s="58">
        <v>101.8</v>
      </c>
      <c r="G97" s="118">
        <v>1.46</v>
      </c>
      <c r="H97" s="127">
        <f t="shared" si="13"/>
        <v>106.97677592558749</v>
      </c>
      <c r="I97" s="38">
        <f t="shared" si="14"/>
        <v>-0.13385582631298379</v>
      </c>
      <c r="J97" s="77"/>
    </row>
    <row r="98" spans="1:10" ht="15" hidden="1" x14ac:dyDescent="0.2">
      <c r="A98" s="11">
        <f t="shared" si="15"/>
        <v>2012</v>
      </c>
      <c r="B98" t="s">
        <v>16</v>
      </c>
      <c r="C98" s="58">
        <f>C97</f>
        <v>122.8</v>
      </c>
      <c r="D98" s="116">
        <v>102</v>
      </c>
      <c r="E98" s="116">
        <v>129.5</v>
      </c>
      <c r="F98" s="116">
        <v>101.4</v>
      </c>
      <c r="G98" s="118">
        <v>1.54</v>
      </c>
      <c r="H98" s="126">
        <f t="shared" si="13"/>
        <v>107.07635832355514</v>
      </c>
      <c r="I98" s="39">
        <f t="shared" si="14"/>
        <v>-0.27547305575384157</v>
      </c>
    </row>
    <row r="99" spans="1:10" ht="15.75" hidden="1" customHeight="1" thickBot="1" x14ac:dyDescent="0.25">
      <c r="A99" s="31">
        <f t="shared" si="15"/>
        <v>2012</v>
      </c>
      <c r="B99" s="32" t="s">
        <v>17</v>
      </c>
      <c r="C99" s="101">
        <f t="shared" si="16"/>
        <v>122.8</v>
      </c>
      <c r="D99" s="121">
        <v>102</v>
      </c>
      <c r="E99" s="101">
        <v>129.4</v>
      </c>
      <c r="F99" s="101">
        <v>100.5</v>
      </c>
      <c r="G99" s="122">
        <v>1.67</v>
      </c>
      <c r="H99" s="128">
        <f t="shared" si="13"/>
        <v>107.16665384653822</v>
      </c>
      <c r="I99" s="40">
        <f t="shared" si="14"/>
        <v>0.62861491435185102</v>
      </c>
    </row>
    <row r="100" spans="1:10" ht="15" hidden="1" x14ac:dyDescent="0.2">
      <c r="A100" s="2">
        <v>2013</v>
      </c>
      <c r="B100" t="s">
        <v>7</v>
      </c>
      <c r="C100" s="133">
        <f>123.1*1.0101</f>
        <v>124.34330999999999</v>
      </c>
      <c r="D100" s="116">
        <v>102</v>
      </c>
      <c r="E100" s="116">
        <v>129.30000000000001</v>
      </c>
      <c r="F100" s="116">
        <v>100.2</v>
      </c>
      <c r="G100" s="118">
        <v>1.47</v>
      </c>
      <c r="H100" s="134">
        <f t="shared" ref="H100:H112" si="17">100+((C100-$C$40)/$C$40*100*$C$2)+((D100-$D$40)/$D$40*100*$D$2)+((E100-$E$40)/$E$40*100*$E$2)+((F100-$F$40)/$F$40*100*$F$2)+((G100-$G$40)/$G$40*100*$G$2)</f>
        <v>107.80080972671118</v>
      </c>
      <c r="J100" s="136" t="s">
        <v>40</v>
      </c>
    </row>
    <row r="101" spans="1:10" ht="15" hidden="1" x14ac:dyDescent="0.2">
      <c r="A101" s="11">
        <f>A100</f>
        <v>2013</v>
      </c>
      <c r="B101" t="s">
        <v>8</v>
      </c>
      <c r="C101" s="133">
        <f>123.1*1.0101</f>
        <v>124.34330999999999</v>
      </c>
      <c r="D101" s="116">
        <v>99.5</v>
      </c>
      <c r="E101" s="116">
        <v>128.9</v>
      </c>
      <c r="F101" s="116">
        <v>100.7</v>
      </c>
      <c r="G101" s="118">
        <v>1.44</v>
      </c>
      <c r="H101" s="134">
        <f t="shared" si="17"/>
        <v>107.59594962389001</v>
      </c>
      <c r="J101" s="136" t="s">
        <v>41</v>
      </c>
    </row>
    <row r="102" spans="1:10" ht="15" hidden="1" x14ac:dyDescent="0.2">
      <c r="A102" s="13">
        <f t="shared" ref="A102:A111" si="18">A101</f>
        <v>2013</v>
      </c>
      <c r="B102" s="14" t="s">
        <v>9</v>
      </c>
      <c r="C102" s="119">
        <f>123.1*1.0101</f>
        <v>124.34330999999999</v>
      </c>
      <c r="D102" s="119">
        <v>104.8</v>
      </c>
      <c r="E102" s="105">
        <v>128.4</v>
      </c>
      <c r="F102" s="119">
        <v>99.5</v>
      </c>
      <c r="G102" s="120">
        <v>1.69</v>
      </c>
      <c r="H102" s="124">
        <f t="shared" si="17"/>
        <v>108.18433893212745</v>
      </c>
    </row>
    <row r="103" spans="1:10" ht="15" hidden="1" x14ac:dyDescent="0.2">
      <c r="A103" s="18">
        <f t="shared" si="18"/>
        <v>2013</v>
      </c>
      <c r="B103" s="19" t="s">
        <v>10</v>
      </c>
      <c r="C103" s="116">
        <f>123.7 * 1.0101</f>
        <v>124.94937</v>
      </c>
      <c r="D103" s="116">
        <v>104.8</v>
      </c>
      <c r="E103" s="116">
        <v>129.9</v>
      </c>
      <c r="F103" s="116">
        <f>F102*(1+(((SUM(F$88:F$99)-SUM(F$76:F$87))/SUM(F$76:F$87))/12))</f>
        <v>99.690938166311312</v>
      </c>
      <c r="G103" s="118">
        <v>1.54</v>
      </c>
      <c r="H103" s="112">
        <f t="shared" si="17"/>
        <v>108.4802454205203</v>
      </c>
    </row>
    <row r="104" spans="1:10" ht="15" hidden="1" x14ac:dyDescent="0.2">
      <c r="A104" s="11">
        <f t="shared" si="18"/>
        <v>2013</v>
      </c>
      <c r="B104" t="s">
        <v>11</v>
      </c>
      <c r="C104" s="116">
        <f>123.7 * 1.0101</f>
        <v>124.94937</v>
      </c>
      <c r="D104" s="116">
        <v>104.8</v>
      </c>
      <c r="E104" s="116">
        <f>E103*(1+(((SUM(E$88:E$99)-SUM(E$76:E$87))/SUM(E$76:E$87))/12))</f>
        <v>130.16857290142343</v>
      </c>
      <c r="F104" s="116">
        <v>99.6</v>
      </c>
      <c r="G104" s="118">
        <v>1.45</v>
      </c>
      <c r="H104" s="48">
        <f t="shared" si="17"/>
        <v>108.35973229374838</v>
      </c>
    </row>
    <row r="105" spans="1:10" ht="15" hidden="1" x14ac:dyDescent="0.2">
      <c r="A105" s="13">
        <f t="shared" si="18"/>
        <v>2013</v>
      </c>
      <c r="B105" s="14" t="s">
        <v>12</v>
      </c>
      <c r="C105" s="119">
        <f>123.7 * 1.0101</f>
        <v>124.94937</v>
      </c>
      <c r="D105" s="119">
        <v>99.7</v>
      </c>
      <c r="E105" s="119">
        <v>130</v>
      </c>
      <c r="F105" s="119">
        <v>100.5</v>
      </c>
      <c r="G105" s="120">
        <v>1.33</v>
      </c>
      <c r="H105" s="111">
        <f t="shared" si="17"/>
        <v>107.8936188472324</v>
      </c>
    </row>
    <row r="106" spans="1:10" ht="15" hidden="1" x14ac:dyDescent="0.2">
      <c r="A106" s="18">
        <f t="shared" si="18"/>
        <v>2013</v>
      </c>
      <c r="B106" s="23" t="s">
        <v>30</v>
      </c>
      <c r="C106" s="116">
        <f>124.1 * 1.0101</f>
        <v>125.35341</v>
      </c>
      <c r="D106" s="116">
        <v>99.7</v>
      </c>
      <c r="E106" s="116">
        <v>130.1</v>
      </c>
      <c r="F106" s="116">
        <v>100.1</v>
      </c>
      <c r="G106" s="118">
        <v>1.38</v>
      </c>
      <c r="H106" s="112">
        <f t="shared" si="17"/>
        <v>108.18658172763156</v>
      </c>
    </row>
    <row r="107" spans="1:10" ht="15" hidden="1" x14ac:dyDescent="0.2">
      <c r="A107" s="11">
        <f t="shared" si="18"/>
        <v>2013</v>
      </c>
      <c r="B107" t="s">
        <v>13</v>
      </c>
      <c r="C107" s="116">
        <f>124.1 * 1.0101</f>
        <v>125.35341</v>
      </c>
      <c r="D107" s="116">
        <v>99.7</v>
      </c>
      <c r="E107" s="116">
        <v>130</v>
      </c>
      <c r="F107" s="116">
        <v>100.2</v>
      </c>
      <c r="G107" s="118">
        <v>1.56</v>
      </c>
      <c r="H107" s="48">
        <f t="shared" si="17"/>
        <v>108.45323912440963</v>
      </c>
    </row>
    <row r="108" spans="1:10" ht="15" hidden="1" x14ac:dyDescent="0.2">
      <c r="A108" s="13">
        <f t="shared" si="18"/>
        <v>2013</v>
      </c>
      <c r="B108" s="14" t="s">
        <v>14</v>
      </c>
      <c r="C108" s="119">
        <f>124.1 * 1.0101</f>
        <v>125.35341</v>
      </c>
      <c r="D108" s="119">
        <v>96.4</v>
      </c>
      <c r="E108" s="119">
        <v>129.6</v>
      </c>
      <c r="F108" s="119">
        <v>99.6</v>
      </c>
      <c r="G108" s="120">
        <v>1.57</v>
      </c>
      <c r="H108" s="138">
        <f t="shared" si="17"/>
        <v>108.13582294382482</v>
      </c>
    </row>
    <row r="109" spans="1:10" ht="15" hidden="1" x14ac:dyDescent="0.2">
      <c r="A109" s="18">
        <f t="shared" si="18"/>
        <v>2013</v>
      </c>
      <c r="B109" t="s">
        <v>15</v>
      </c>
      <c r="C109" s="116">
        <f>124.4*1.0101</f>
        <v>125.65644</v>
      </c>
      <c r="D109" s="116">
        <v>96.4</v>
      </c>
      <c r="E109" s="116">
        <v>129.69999999999999</v>
      </c>
      <c r="F109" s="116">
        <v>99.6</v>
      </c>
      <c r="G109" s="118">
        <v>1.7</v>
      </c>
      <c r="H109" s="56">
        <f t="shared" si="17"/>
        <v>108.52413337439521</v>
      </c>
    </row>
    <row r="110" spans="1:10" ht="15" hidden="1" x14ac:dyDescent="0.2">
      <c r="A110" s="11">
        <f t="shared" si="18"/>
        <v>2013</v>
      </c>
      <c r="B110" t="s">
        <v>16</v>
      </c>
      <c r="C110" s="116">
        <f>C109</f>
        <v>125.65644</v>
      </c>
      <c r="D110" s="116">
        <v>96.4</v>
      </c>
      <c r="E110" s="116">
        <v>130.1</v>
      </c>
      <c r="F110" s="116">
        <v>99.3</v>
      </c>
      <c r="G110" s="118">
        <v>1.63</v>
      </c>
      <c r="H110" s="56">
        <f t="shared" si="17"/>
        <v>108.42168085516558</v>
      </c>
    </row>
    <row r="111" spans="1:10" ht="15.75" hidden="1" thickBot="1" x14ac:dyDescent="0.25">
      <c r="A111" s="31">
        <f t="shared" si="18"/>
        <v>2013</v>
      </c>
      <c r="B111" s="32" t="s">
        <v>17</v>
      </c>
      <c r="C111" s="121">
        <f>C109</f>
        <v>125.65644</v>
      </c>
      <c r="D111" s="121">
        <v>99.7</v>
      </c>
      <c r="E111" s="121">
        <v>130.30000000000001</v>
      </c>
      <c r="F111" s="121">
        <v>99.3</v>
      </c>
      <c r="G111" s="122">
        <v>1.69</v>
      </c>
      <c r="H111" s="103">
        <f t="shared" si="17"/>
        <v>108.76444601999802</v>
      </c>
    </row>
    <row r="112" spans="1:10" ht="15" hidden="1" customHeight="1" x14ac:dyDescent="0.2">
      <c r="A112" s="2">
        <v>2014</v>
      </c>
      <c r="B112" s="50" t="s">
        <v>7</v>
      </c>
      <c r="C112" s="116">
        <f>124.6*1.0101</f>
        <v>125.85845999999999</v>
      </c>
      <c r="D112" s="116">
        <v>99.7</v>
      </c>
      <c r="E112" s="116">
        <v>130</v>
      </c>
      <c r="F112" s="116">
        <v>98.7</v>
      </c>
      <c r="G112" s="118">
        <v>1.49</v>
      </c>
      <c r="H112" s="56">
        <f t="shared" si="17"/>
        <v>108.51227140898338</v>
      </c>
    </row>
    <row r="113" spans="1:10" ht="15" hidden="1" x14ac:dyDescent="0.2">
      <c r="A113" s="11">
        <f>A112</f>
        <v>2014</v>
      </c>
      <c r="B113" t="s">
        <v>8</v>
      </c>
      <c r="C113" s="116">
        <f>C112</f>
        <v>125.85845999999999</v>
      </c>
      <c r="D113" s="116">
        <v>99.7</v>
      </c>
      <c r="E113" s="116">
        <v>129.9</v>
      </c>
      <c r="F113" s="116">
        <v>99.1</v>
      </c>
      <c r="G113" s="118">
        <v>1.58</v>
      </c>
      <c r="H113" s="56">
        <f t="shared" ref="H113:H123" si="19">100+((C113-$C$40)/$C$40*100*$C$2)+((D113-$D$40)/$D$40*100*$D$2)+((E113-$E$40)/$E$40*100*$E$2)+((F113-$F$40)/$F$40*100*$F$2)+((G113-$G$40)/$G$40*100*$G$2)</f>
        <v>108.67774931758548</v>
      </c>
    </row>
    <row r="114" spans="1:10" ht="15" hidden="1" x14ac:dyDescent="0.2">
      <c r="A114" s="13">
        <f t="shared" ref="A114:A123" si="20">A113</f>
        <v>2014</v>
      </c>
      <c r="B114" s="14" t="s">
        <v>9</v>
      </c>
      <c r="C114" s="119">
        <f>C112</f>
        <v>125.85845999999999</v>
      </c>
      <c r="D114" s="119">
        <v>104.2</v>
      </c>
      <c r="E114" s="119">
        <v>129.69999999999999</v>
      </c>
      <c r="F114" s="139">
        <v>98.9</v>
      </c>
      <c r="G114" s="120">
        <v>1.52</v>
      </c>
      <c r="H114" s="138">
        <f t="shared" si="19"/>
        <v>108.8796042217093</v>
      </c>
      <c r="J114" s="136" t="s">
        <v>44</v>
      </c>
    </row>
    <row r="115" spans="1:10" ht="15" hidden="1" x14ac:dyDescent="0.2">
      <c r="A115" s="18">
        <f t="shared" si="20"/>
        <v>2014</v>
      </c>
      <c r="B115" s="19" t="s">
        <v>10</v>
      </c>
      <c r="C115" s="116">
        <f>125.1*1.0101</f>
        <v>126.36350999999999</v>
      </c>
      <c r="D115" s="116">
        <v>104.2</v>
      </c>
      <c r="E115" s="116">
        <v>130.6</v>
      </c>
      <c r="F115" s="133">
        <v>99.1</v>
      </c>
      <c r="G115" s="118">
        <v>1.46</v>
      </c>
      <c r="H115" s="56">
        <f t="shared" si="19"/>
        <v>109.19851866878263</v>
      </c>
    </row>
    <row r="116" spans="1:10" ht="15" hidden="1" x14ac:dyDescent="0.2">
      <c r="A116" s="11">
        <f t="shared" si="20"/>
        <v>2014</v>
      </c>
      <c r="B116" t="s">
        <v>11</v>
      </c>
      <c r="C116" s="116">
        <f>C115</f>
        <v>126.36350999999999</v>
      </c>
      <c r="D116" s="116">
        <v>104.2</v>
      </c>
      <c r="E116" s="116">
        <v>130.69999999999999</v>
      </c>
      <c r="F116" s="133">
        <v>98.8</v>
      </c>
      <c r="G116" s="118">
        <v>1.43</v>
      </c>
      <c r="H116" s="56">
        <f t="shared" si="19"/>
        <v>109.13138973581999</v>
      </c>
    </row>
    <row r="117" spans="1:10" ht="15" hidden="1" x14ac:dyDescent="0.2">
      <c r="A117" s="13">
        <f t="shared" si="20"/>
        <v>2014</v>
      </c>
      <c r="B117" s="14" t="s">
        <v>12</v>
      </c>
      <c r="C117" s="119">
        <f>C115</f>
        <v>126.36350999999999</v>
      </c>
      <c r="D117" s="119">
        <v>102.6</v>
      </c>
      <c r="E117" s="119">
        <v>130.9</v>
      </c>
      <c r="F117" s="151">
        <v>98.7</v>
      </c>
      <c r="G117" s="120">
        <v>1.39</v>
      </c>
      <c r="H117" s="111">
        <f t="shared" si="19"/>
        <v>108.96203325160126</v>
      </c>
    </row>
    <row r="118" spans="1:10" ht="15" hidden="1" x14ac:dyDescent="0.2">
      <c r="A118" s="18">
        <f t="shared" si="20"/>
        <v>2014</v>
      </c>
      <c r="B118" s="23" t="s">
        <v>30</v>
      </c>
      <c r="C118" s="116">
        <f>125.4*1.0101</f>
        <v>126.66654000000001</v>
      </c>
      <c r="D118" s="116">
        <v>102.6</v>
      </c>
      <c r="E118" s="116">
        <v>130.80000000000001</v>
      </c>
      <c r="F118" s="133">
        <v>98.9</v>
      </c>
      <c r="G118" s="118">
        <v>1.3</v>
      </c>
      <c r="H118" s="112">
        <f t="shared" si="19"/>
        <v>109.0325054358955</v>
      </c>
    </row>
    <row r="119" spans="1:10" ht="15" hidden="1" x14ac:dyDescent="0.2">
      <c r="A119" s="11">
        <f t="shared" si="20"/>
        <v>2014</v>
      </c>
      <c r="B119" t="s">
        <v>13</v>
      </c>
      <c r="C119" s="116">
        <f>C118</f>
        <v>126.66654000000001</v>
      </c>
      <c r="D119" s="116">
        <v>102.6</v>
      </c>
      <c r="E119" s="116">
        <v>130.69999999999999</v>
      </c>
      <c r="F119" s="133">
        <v>99</v>
      </c>
      <c r="G119" s="118">
        <v>1.29</v>
      </c>
      <c r="H119" s="56">
        <f t="shared" si="19"/>
        <v>109.02033683686643</v>
      </c>
    </row>
    <row r="120" spans="1:10" ht="15" hidden="1" x14ac:dyDescent="0.2">
      <c r="A120" s="13">
        <f t="shared" si="20"/>
        <v>2014</v>
      </c>
      <c r="B120" s="14" t="s">
        <v>14</v>
      </c>
      <c r="C120" s="119">
        <f>C118</f>
        <v>126.66654000000001</v>
      </c>
      <c r="D120" s="119">
        <v>100.9</v>
      </c>
      <c r="E120" s="119">
        <v>130.6</v>
      </c>
      <c r="F120" s="139">
        <v>98.9</v>
      </c>
      <c r="G120" s="120">
        <v>1.3</v>
      </c>
      <c r="H120" s="138">
        <f t="shared" si="19"/>
        <v>108.89373261451398</v>
      </c>
    </row>
    <row r="121" spans="1:10" ht="15" hidden="1" x14ac:dyDescent="0.2">
      <c r="A121" s="18">
        <f t="shared" si="20"/>
        <v>2014</v>
      </c>
      <c r="B121" t="s">
        <v>15</v>
      </c>
      <c r="C121" s="116">
        <f>125.9*1.0101</f>
        <v>127.17159000000001</v>
      </c>
      <c r="D121" s="116">
        <v>100.9</v>
      </c>
      <c r="E121" s="116">
        <v>130.4</v>
      </c>
      <c r="F121" s="133">
        <v>98.9</v>
      </c>
      <c r="G121" s="118">
        <v>1.22</v>
      </c>
      <c r="H121" s="112">
        <f t="shared" si="19"/>
        <v>109.0769853487031</v>
      </c>
    </row>
    <row r="122" spans="1:10" ht="15" hidden="1" x14ac:dyDescent="0.2">
      <c r="A122" s="11">
        <f t="shared" si="20"/>
        <v>2014</v>
      </c>
      <c r="B122" t="s">
        <v>16</v>
      </c>
      <c r="C122" s="116">
        <f>C121</f>
        <v>127.17159000000001</v>
      </c>
      <c r="D122" s="116">
        <v>100.9</v>
      </c>
      <c r="E122" s="116">
        <v>130.80000000000001</v>
      </c>
      <c r="F122" s="155">
        <f>+(F$121/103.3)*103.5</f>
        <v>99.091481122942895</v>
      </c>
      <c r="G122" s="118">
        <v>1.18</v>
      </c>
      <c r="H122" s="56">
        <f t="shared" si="19"/>
        <v>109.06917396229248</v>
      </c>
      <c r="J122" s="154" t="s">
        <v>66</v>
      </c>
    </row>
    <row r="123" spans="1:10" ht="15.75" hidden="1" thickBot="1" x14ac:dyDescent="0.25">
      <c r="A123" s="31">
        <f t="shared" si="20"/>
        <v>2014</v>
      </c>
      <c r="B123" s="32" t="s">
        <v>17</v>
      </c>
      <c r="C123" s="121">
        <f>C121</f>
        <v>127.17159000000001</v>
      </c>
      <c r="D123" s="121">
        <v>104.2</v>
      </c>
      <c r="E123" s="121">
        <v>130.9</v>
      </c>
      <c r="F123" s="156">
        <f>+(F$121/103.3)*103.5</f>
        <v>99.091481122942895</v>
      </c>
      <c r="G123" s="122">
        <v>1.23</v>
      </c>
      <c r="H123" s="103">
        <f t="shared" si="19"/>
        <v>109.38947186692181</v>
      </c>
    </row>
    <row r="124" spans="1:10" ht="15" hidden="1" x14ac:dyDescent="0.2">
      <c r="A124" s="2">
        <v>2015</v>
      </c>
      <c r="B124" s="144" t="s">
        <v>7</v>
      </c>
      <c r="C124" s="116">
        <v>127.7</v>
      </c>
      <c r="D124" s="116">
        <v>104.2</v>
      </c>
      <c r="E124" s="116">
        <v>130.6</v>
      </c>
      <c r="F124" s="155">
        <f>+(F$121/103.3)*103.4</f>
        <v>98.99574056147145</v>
      </c>
      <c r="G124" s="118">
        <v>1.17</v>
      </c>
      <c r="H124" s="56">
        <f t="shared" ref="H124:H147" si="21">100+((C124-$C$40)/$C$40*100*$C$2)+((D124-$D$40)/$D$40*100*$D$2)+((E124-$E$40)/$E$40*100*$E$2)+((F124-$F$40)/$F$40*100*$F$2)+((G124-$G$40)/$G$40*100*$G$2)</f>
        <v>109.59904938976963</v>
      </c>
    </row>
    <row r="125" spans="1:10" ht="15" hidden="1" x14ac:dyDescent="0.2">
      <c r="A125" s="11">
        <f>A124</f>
        <v>2015</v>
      </c>
      <c r="B125" t="s">
        <v>8</v>
      </c>
      <c r="C125" s="116">
        <f>C124</f>
        <v>127.7</v>
      </c>
      <c r="D125" s="116">
        <v>104.2</v>
      </c>
      <c r="E125" s="116">
        <v>130.30000000000001</v>
      </c>
      <c r="F125" s="155">
        <f>+(F$121/103.3)*103.8</f>
        <v>99.378702807357215</v>
      </c>
      <c r="G125" s="118">
        <v>1.1000000000000001</v>
      </c>
      <c r="H125" s="56">
        <f t="shared" si="21"/>
        <v>109.51238738364498</v>
      </c>
    </row>
    <row r="126" spans="1:10" ht="15" hidden="1" x14ac:dyDescent="0.2">
      <c r="A126" s="13">
        <f t="shared" ref="A126:A135" si="22">A125</f>
        <v>2015</v>
      </c>
      <c r="B126" s="14" t="s">
        <v>9</v>
      </c>
      <c r="C126" s="119">
        <f>C124</f>
        <v>127.7</v>
      </c>
      <c r="D126" s="119">
        <v>101.2</v>
      </c>
      <c r="E126" s="119">
        <v>129.6</v>
      </c>
      <c r="F126" s="157">
        <f>+(F$121/103.3)*104.2</f>
        <v>99.761665053242993</v>
      </c>
      <c r="G126" s="120">
        <v>0.87</v>
      </c>
      <c r="H126" s="138">
        <f t="shared" si="21"/>
        <v>108.94236440342927</v>
      </c>
    </row>
    <row r="127" spans="1:10" ht="15" hidden="1" x14ac:dyDescent="0.2">
      <c r="A127" s="18">
        <f t="shared" si="22"/>
        <v>2015</v>
      </c>
      <c r="B127" s="144" t="s">
        <v>10</v>
      </c>
      <c r="C127" s="116">
        <f>126.9*1.0101</f>
        <v>128.18169</v>
      </c>
      <c r="D127" s="116">
        <v>101.2</v>
      </c>
      <c r="E127" s="116">
        <v>130.9</v>
      </c>
      <c r="F127" s="155">
        <f>+(F$121/103.3)*104.4</f>
        <v>99.953146176185882</v>
      </c>
      <c r="G127" s="118">
        <v>0.82</v>
      </c>
      <c r="H127" s="56">
        <f t="shared" si="21"/>
        <v>109.29161851613725</v>
      </c>
    </row>
    <row r="128" spans="1:10" ht="15" hidden="1" x14ac:dyDescent="0.2">
      <c r="A128" s="11">
        <f t="shared" si="22"/>
        <v>2015</v>
      </c>
      <c r="B128" t="s">
        <v>11</v>
      </c>
      <c r="C128" s="116">
        <f>C127</f>
        <v>128.18169</v>
      </c>
      <c r="D128" s="116">
        <v>101.2</v>
      </c>
      <c r="E128" s="116">
        <v>131.5</v>
      </c>
      <c r="F128" s="155">
        <f>+(F$121/103.3)*104.8</f>
        <v>100.33610842207165</v>
      </c>
      <c r="G128" s="118">
        <v>0.84</v>
      </c>
      <c r="H128" s="56">
        <f t="shared" si="21"/>
        <v>109.40716185184058</v>
      </c>
    </row>
    <row r="129" spans="1:10" ht="15" hidden="1" x14ac:dyDescent="0.2">
      <c r="A129" s="13">
        <f t="shared" si="22"/>
        <v>2015</v>
      </c>
      <c r="B129" s="14" t="s">
        <v>12</v>
      </c>
      <c r="C129" s="119">
        <f>C127</f>
        <v>128.18169</v>
      </c>
      <c r="D129" s="119">
        <v>99.5</v>
      </c>
      <c r="E129" s="119">
        <f>E128*(1+(((SUM(E$112:E$123)-SUM(E$100:E$111))/SUM(E$100:E$111))/12))</f>
        <v>131.56710611258526</v>
      </c>
      <c r="F129" s="157">
        <f>+(F$121/103.3)*106</f>
        <v>101.48499515972895</v>
      </c>
      <c r="G129" s="120">
        <v>0.76</v>
      </c>
      <c r="H129" s="138">
        <f t="shared" si="21"/>
        <v>109.2901220268751</v>
      </c>
    </row>
    <row r="130" spans="1:10" ht="15" hidden="1" x14ac:dyDescent="0.2">
      <c r="A130" s="11">
        <f t="shared" si="22"/>
        <v>2015</v>
      </c>
      <c r="B130" t="s">
        <v>30</v>
      </c>
      <c r="C130" s="116">
        <f>127.2*1.0101</f>
        <v>128.48472000000001</v>
      </c>
      <c r="D130" s="116">
        <v>99.5</v>
      </c>
      <c r="E130" s="116">
        <f>E129*(1+(((SUM(E$112:E$123)-SUM(E$100:E$111))/SUM(E$100:E$111))/12))</f>
        <v>131.63424647026821</v>
      </c>
      <c r="F130" s="155">
        <f>+(F$121/103.3)*106</f>
        <v>101.48499515972895</v>
      </c>
      <c r="G130" s="118">
        <v>0.99</v>
      </c>
      <c r="H130" s="56">
        <f t="shared" si="21"/>
        <v>109.82262248994537</v>
      </c>
    </row>
    <row r="131" spans="1:10" ht="15" hidden="1" x14ac:dyDescent="0.2">
      <c r="A131" s="11">
        <f t="shared" si="22"/>
        <v>2015</v>
      </c>
      <c r="B131" t="s">
        <v>13</v>
      </c>
      <c r="C131" s="116">
        <f>C130</f>
        <v>128.48472000000001</v>
      </c>
      <c r="D131" s="116">
        <v>99.5</v>
      </c>
      <c r="E131" s="116">
        <v>131.6</v>
      </c>
      <c r="F131" s="155">
        <f>+(F$121/103.3)*106.2</f>
        <v>101.67647628267184</v>
      </c>
      <c r="G131" s="118">
        <v>1.1100000000000001</v>
      </c>
      <c r="H131" s="56">
        <f t="shared" si="21"/>
        <v>110.01577455481555</v>
      </c>
    </row>
    <row r="132" spans="1:10" ht="15" hidden="1" x14ac:dyDescent="0.2">
      <c r="A132" s="13">
        <f t="shared" si="22"/>
        <v>2015</v>
      </c>
      <c r="B132" s="14" t="s">
        <v>14</v>
      </c>
      <c r="C132" s="119">
        <f>C130</f>
        <v>128.48472000000001</v>
      </c>
      <c r="D132" s="119">
        <v>99.5</v>
      </c>
      <c r="E132" s="119">
        <v>131.5</v>
      </c>
      <c r="F132" s="157">
        <f>+(F$121/103.3)*106.3</f>
        <v>101.77221684414327</v>
      </c>
      <c r="G132" s="120">
        <v>1</v>
      </c>
      <c r="H132" s="138">
        <f t="shared" si="21"/>
        <v>109.85641676653549</v>
      </c>
    </row>
    <row r="133" spans="1:10" ht="15" hidden="1" x14ac:dyDescent="0.2">
      <c r="A133" s="18">
        <f t="shared" si="22"/>
        <v>2015</v>
      </c>
      <c r="B133" s="144" t="s">
        <v>15</v>
      </c>
      <c r="C133" s="116">
        <f>127.8*1.0101</f>
        <v>129.09078</v>
      </c>
      <c r="D133" s="116">
        <v>97</v>
      </c>
      <c r="E133" s="116">
        <v>131.1</v>
      </c>
      <c r="F133" s="155">
        <f>+(F$121/103.3)*106.5</f>
        <v>101.96369796708616</v>
      </c>
      <c r="G133" s="118">
        <v>1.07</v>
      </c>
      <c r="H133" s="56">
        <f t="shared" si="21"/>
        <v>110.14601895689017</v>
      </c>
    </row>
    <row r="134" spans="1:10" ht="15" hidden="1" x14ac:dyDescent="0.2">
      <c r="A134" s="11">
        <f t="shared" si="22"/>
        <v>2015</v>
      </c>
      <c r="B134" t="s">
        <v>16</v>
      </c>
      <c r="C134" s="116">
        <f>C133</f>
        <v>129.09078</v>
      </c>
      <c r="D134" s="116">
        <v>97</v>
      </c>
      <c r="E134" s="116">
        <v>131.4</v>
      </c>
      <c r="F134" s="155">
        <f>+(F$121/103.3)*106.5</f>
        <v>101.96369796708616</v>
      </c>
      <c r="G134" s="118">
        <v>1.1200000000000001</v>
      </c>
      <c r="H134" s="56">
        <f t="shared" si="21"/>
        <v>110.24277084232131</v>
      </c>
    </row>
    <row r="135" spans="1:10" ht="15.75" hidden="1" thickBot="1" x14ac:dyDescent="0.25">
      <c r="A135" s="31">
        <f t="shared" si="22"/>
        <v>2015</v>
      </c>
      <c r="B135" s="32" t="s">
        <v>17</v>
      </c>
      <c r="C135" s="121">
        <f>C133</f>
        <v>129.09078</v>
      </c>
      <c r="D135" s="121">
        <v>102</v>
      </c>
      <c r="E135" s="121">
        <v>131.4</v>
      </c>
      <c r="F135" s="156">
        <f>+(F$121/103.3)*106.7</f>
        <v>102.15517909002905</v>
      </c>
      <c r="G135" s="122">
        <v>1.08</v>
      </c>
      <c r="H135" s="103">
        <f>100+((C135-$C$40)/$C$40*100*$C$2)+((D135-$D$40)/$D$40*100*$D$2)+((E135-$E$40)/$E$40*100*$E$2)+((F135-$F$40)/$F$40*100*$F$2)+((G135-$G$40)/$G$40*100*$G$2)</f>
        <v>110.56610946532157</v>
      </c>
    </row>
    <row r="136" spans="1:10" ht="15" hidden="1" x14ac:dyDescent="0.2">
      <c r="A136" s="2">
        <v>2016</v>
      </c>
      <c r="B136" s="144" t="s">
        <v>7</v>
      </c>
      <c r="C136" s="116">
        <f>128.2*1.0101</f>
        <v>129.49481999999998</v>
      </c>
      <c r="D136" s="116">
        <v>101.2</v>
      </c>
      <c r="E136" s="116">
        <v>131</v>
      </c>
      <c r="F136" s="155">
        <f>+(F$121/103.3)*106.8</f>
        <v>102.2509196515005</v>
      </c>
      <c r="G136" s="118">
        <v>1.03</v>
      </c>
      <c r="H136" s="56">
        <f t="shared" si="21"/>
        <v>110.66644440888616</v>
      </c>
    </row>
    <row r="137" spans="1:10" ht="15" hidden="1" x14ac:dyDescent="0.2">
      <c r="A137" s="11">
        <f>A136</f>
        <v>2016</v>
      </c>
      <c r="B137" t="s">
        <v>8</v>
      </c>
      <c r="C137" s="116">
        <f>C136</f>
        <v>129.49481999999998</v>
      </c>
      <c r="D137" s="116">
        <v>101.2</v>
      </c>
      <c r="E137" s="116">
        <f>E136*(1+(((SUM(E$124:E$135)-SUM(E$112:E$123))/SUM(E$112:E$123))/12))</f>
        <v>131.04950389465483</v>
      </c>
      <c r="F137" s="155">
        <f>+(F$121/103.3)*106.8</f>
        <v>102.2509196515005</v>
      </c>
      <c r="G137" s="118">
        <v>1.0900000000000001</v>
      </c>
      <c r="H137" s="56">
        <f t="shared" si="21"/>
        <v>110.75835216968831</v>
      </c>
    </row>
    <row r="138" spans="1:10" ht="15" hidden="1" x14ac:dyDescent="0.2">
      <c r="A138" s="13">
        <f t="shared" ref="A138:A147" si="23">A137</f>
        <v>2016</v>
      </c>
      <c r="B138" s="14" t="s">
        <v>9</v>
      </c>
      <c r="C138" s="119">
        <f>C136</f>
        <v>129.49481999999998</v>
      </c>
      <c r="D138" s="119">
        <v>101.3</v>
      </c>
      <c r="E138" s="162">
        <f>131/99.8*99.4</f>
        <v>130.47494989979961</v>
      </c>
      <c r="F138" s="157">
        <f>+(F$121/103.3)*106.9</f>
        <v>102.34666021297194</v>
      </c>
      <c r="G138" s="120">
        <f t="shared" ref="G138:G176" si="24">+G137</f>
        <v>1.0900000000000001</v>
      </c>
      <c r="H138" s="138">
        <f t="shared" si="21"/>
        <v>110.73068810137443</v>
      </c>
      <c r="J138" s="163" t="s">
        <v>69</v>
      </c>
    </row>
    <row r="139" spans="1:10" ht="15" hidden="1" x14ac:dyDescent="0.2">
      <c r="A139" s="18">
        <f t="shared" si="23"/>
        <v>2016</v>
      </c>
      <c r="B139" s="144" t="s">
        <v>10</v>
      </c>
      <c r="C139" s="116">
        <f>128.7*1.0101</f>
        <v>129.99986999999999</v>
      </c>
      <c r="D139" s="116">
        <v>102.1</v>
      </c>
      <c r="E139" s="172">
        <f>131/99.8*100.1</f>
        <v>131.3937875751503</v>
      </c>
      <c r="F139" s="155">
        <f>+(F$121/103.3)*106.9</f>
        <v>102.34666021297194</v>
      </c>
      <c r="G139" s="118">
        <v>0.96</v>
      </c>
      <c r="H139" s="56">
        <f t="shared" si="21"/>
        <v>110.98571874452267</v>
      </c>
    </row>
    <row r="140" spans="1:10" ht="15" hidden="1" x14ac:dyDescent="0.2">
      <c r="A140" s="11">
        <f t="shared" si="23"/>
        <v>2016</v>
      </c>
      <c r="B140" t="s">
        <v>11</v>
      </c>
      <c r="C140" s="116">
        <f>C139</f>
        <v>129.99986999999999</v>
      </c>
      <c r="D140" s="116">
        <v>99.6</v>
      </c>
      <c r="E140" s="172">
        <f>131/99.8*100.2</f>
        <v>131.52505010020042</v>
      </c>
      <c r="F140" s="155">
        <f>+(F$121/103.3)*107</f>
        <v>102.44240077444337</v>
      </c>
      <c r="G140" s="118">
        <v>0.85</v>
      </c>
      <c r="H140" s="56">
        <f t="shared" si="21"/>
        <v>110.66322199245018</v>
      </c>
    </row>
    <row r="141" spans="1:10" ht="15" hidden="1" x14ac:dyDescent="0.2">
      <c r="A141" s="13">
        <f t="shared" si="23"/>
        <v>2016</v>
      </c>
      <c r="B141" s="14" t="s">
        <v>12</v>
      </c>
      <c r="C141" s="119">
        <f>C139</f>
        <v>129.99986999999999</v>
      </c>
      <c r="D141" s="119">
        <v>99.6</v>
      </c>
      <c r="E141" s="162">
        <f>131/99.8*100.3</f>
        <v>131.65631262525051</v>
      </c>
      <c r="F141" s="157">
        <f>+(F$121/103.3)*106.8</f>
        <v>102.2509196515005</v>
      </c>
      <c r="G141" s="120">
        <v>0.87</v>
      </c>
      <c r="H141" s="138">
        <f t="shared" si="21"/>
        <v>110.68308035391304</v>
      </c>
    </row>
    <row r="142" spans="1:10" ht="15" hidden="1" x14ac:dyDescent="0.2">
      <c r="A142" s="11">
        <f t="shared" si="23"/>
        <v>2016</v>
      </c>
      <c r="B142" t="s">
        <v>30</v>
      </c>
      <c r="C142" s="116">
        <f>129.4*1.0101</f>
        <v>130.70694</v>
      </c>
      <c r="D142" s="116">
        <v>99.6</v>
      </c>
      <c r="E142" s="172">
        <f>131/99.8*100.5</f>
        <v>131.91883767535072</v>
      </c>
      <c r="F142" s="155">
        <f>+(F$121/103.3)*106.7</f>
        <v>102.15517909002905</v>
      </c>
      <c r="G142" s="118">
        <v>0.83</v>
      </c>
      <c r="H142" s="56">
        <f t="shared" si="21"/>
        <v>111.07770924233284</v>
      </c>
    </row>
    <row r="143" spans="1:10" ht="15" hidden="1" x14ac:dyDescent="0.2">
      <c r="A143" s="11">
        <f t="shared" si="23"/>
        <v>2016</v>
      </c>
      <c r="B143" t="s">
        <v>13</v>
      </c>
      <c r="C143" s="116">
        <f>C142</f>
        <v>130.70694</v>
      </c>
      <c r="D143" s="116">
        <v>100.5</v>
      </c>
      <c r="E143" s="172">
        <f>131/99.8*100.6</f>
        <v>132.05010020040081</v>
      </c>
      <c r="F143" s="155">
        <f>+(F$121/103.3)*107</f>
        <v>102.44240077444337</v>
      </c>
      <c r="G143" s="118">
        <v>0.6</v>
      </c>
      <c r="H143" s="56">
        <f t="shared" si="21"/>
        <v>110.84520866498787</v>
      </c>
    </row>
    <row r="144" spans="1:10" ht="15" hidden="1" x14ac:dyDescent="0.2">
      <c r="A144" s="13">
        <f t="shared" si="23"/>
        <v>2016</v>
      </c>
      <c r="B144" s="14" t="s">
        <v>14</v>
      </c>
      <c r="C144" s="119">
        <f>C142</f>
        <v>130.70694</v>
      </c>
      <c r="D144" s="119">
        <v>97.9</v>
      </c>
      <c r="E144" s="162">
        <f>131/99.8*100.5</f>
        <v>131.91883767535072</v>
      </c>
      <c r="F144" s="157">
        <f>+(F$121/103.3)*107.2</f>
        <v>102.63388189738626</v>
      </c>
      <c r="G144" s="120">
        <v>0.63</v>
      </c>
      <c r="H144" s="138">
        <f t="shared" si="21"/>
        <v>110.71031976847807</v>
      </c>
    </row>
    <row r="145" spans="1:10" ht="15" hidden="1" x14ac:dyDescent="0.2">
      <c r="A145" s="11">
        <f t="shared" si="23"/>
        <v>2016</v>
      </c>
      <c r="B145" t="s">
        <v>15</v>
      </c>
      <c r="C145" s="116">
        <f>130*1.0101</f>
        <v>131.31299999999999</v>
      </c>
      <c r="D145" s="116">
        <v>97.1</v>
      </c>
      <c r="E145" s="172">
        <f>131/99.8*100.2</f>
        <v>131.52505010020042</v>
      </c>
      <c r="F145" s="155">
        <f>+(F$121/103.3)*107.1</f>
        <v>102.53814133591482</v>
      </c>
      <c r="G145" s="118">
        <v>0.64</v>
      </c>
      <c r="H145" s="56">
        <f t="shared" si="21"/>
        <v>111.00596414712146</v>
      </c>
    </row>
    <row r="146" spans="1:10" ht="15" hidden="1" x14ac:dyDescent="0.2">
      <c r="A146" s="11">
        <f t="shared" si="23"/>
        <v>2016</v>
      </c>
      <c r="B146" t="s">
        <v>16</v>
      </c>
      <c r="C146" s="116">
        <f>C145</f>
        <v>131.31299999999999</v>
      </c>
      <c r="D146" s="116">
        <v>97.9</v>
      </c>
      <c r="E146" s="172">
        <f>131/99.8*100.2</f>
        <v>131.52505010020042</v>
      </c>
      <c r="F146" s="155">
        <f>+(F$121/103.3)*107.2</f>
        <v>102.63388189738626</v>
      </c>
      <c r="G146" s="118">
        <v>0.56000000000000005</v>
      </c>
      <c r="H146" s="56">
        <f t="shared" si="21"/>
        <v>110.95639473835908</v>
      </c>
    </row>
    <row r="147" spans="1:10" ht="15.75" hidden="1" thickBot="1" x14ac:dyDescent="0.25">
      <c r="A147" s="31">
        <f t="shared" si="23"/>
        <v>2016</v>
      </c>
      <c r="B147" s="32" t="s">
        <v>17</v>
      </c>
      <c r="C147" s="121">
        <f>C145</f>
        <v>131.31299999999999</v>
      </c>
      <c r="D147" s="121">
        <v>101.3</v>
      </c>
      <c r="E147" s="173">
        <f>131/99.8*100.4</f>
        <v>131.78757515030063</v>
      </c>
      <c r="F147" s="156">
        <f>+(F$121/103.3)*107.2</f>
        <v>102.63388189738626</v>
      </c>
      <c r="G147" s="122">
        <v>0.77</v>
      </c>
      <c r="H147" s="103">
        <f t="shared" si="21"/>
        <v>111.53140414799262</v>
      </c>
    </row>
    <row r="148" spans="1:10" ht="15" hidden="1" x14ac:dyDescent="0.2">
      <c r="A148" s="2">
        <v>2017</v>
      </c>
      <c r="B148" s="144" t="s">
        <v>7</v>
      </c>
      <c r="C148" s="116">
        <f>130.5*1.0101</f>
        <v>131.81805</v>
      </c>
      <c r="D148" s="116">
        <v>103</v>
      </c>
      <c r="E148" s="172">
        <f>131/99.8*100.3</f>
        <v>131.65631262525051</v>
      </c>
      <c r="F148" s="155">
        <f>+(F$121/103.3)*107.2</f>
        <v>102.63388189738626</v>
      </c>
      <c r="G148" s="118">
        <v>0.78</v>
      </c>
      <c r="H148" s="56">
        <f>100+((C148-$C$40)/$C$40*100*$C$2)+((D148-$D$40)/$D$40*100*$D$2)+((E148-$E$40)/$E$40*100*$E$2)+((F148-$F$40)/$F$40*100*$F$2)+((G148-$G$40)/$G$40*100*$G$2)</f>
        <v>111.97527692655622</v>
      </c>
    </row>
    <row r="149" spans="1:10" ht="15" hidden="1" customHeight="1" x14ac:dyDescent="0.2">
      <c r="A149" s="11">
        <f>A148</f>
        <v>2017</v>
      </c>
      <c r="B149" t="s">
        <v>8</v>
      </c>
      <c r="C149" s="116">
        <f>C148</f>
        <v>131.81805</v>
      </c>
      <c r="D149" s="116">
        <v>103</v>
      </c>
      <c r="E149" s="172">
        <f>131/99.8*100.3</f>
        <v>131.65631262525051</v>
      </c>
      <c r="F149" s="155">
        <f>+(F$121/103.3)*107.1</f>
        <v>102.53814133591482</v>
      </c>
      <c r="G149" s="118">
        <v>0.73</v>
      </c>
      <c r="H149" s="56">
        <f t="shared" ref="H149:H159" si="25">100+((C149-$C$40)/$C$40*100*$C$2)+((D149-$D$40)/$D$40*100*$D$2)+((E149-$E$40)/$E$40*100*$E$2)+((F149-$F$40)/$F$40*100*$F$2)+((G149-$G$40)/$G$40*100*$G$2)</f>
        <v>111.89204166846963</v>
      </c>
    </row>
    <row r="150" spans="1:10" ht="15" hidden="1" customHeight="1" x14ac:dyDescent="0.2">
      <c r="A150" s="13">
        <f t="shared" ref="A150:A159" si="26">A149</f>
        <v>2017</v>
      </c>
      <c r="B150" s="14" t="s">
        <v>9</v>
      </c>
      <c r="C150" s="119">
        <f>C148</f>
        <v>131.81805</v>
      </c>
      <c r="D150" s="119">
        <v>98.7</v>
      </c>
      <c r="E150" s="162">
        <f>131/99.8*100.3</f>
        <v>131.65631262525051</v>
      </c>
      <c r="F150" s="157">
        <f>+(F$121/103.3)*107.4</f>
        <v>102.82536302032915</v>
      </c>
      <c r="G150" s="120">
        <v>0.84</v>
      </c>
      <c r="H150" s="138">
        <f t="shared" si="25"/>
        <v>111.77145303018723</v>
      </c>
    </row>
    <row r="151" spans="1:10" ht="15" hidden="1" customHeight="1" x14ac:dyDescent="0.2">
      <c r="A151" s="11">
        <f t="shared" si="26"/>
        <v>2017</v>
      </c>
      <c r="B151" t="s">
        <v>10</v>
      </c>
      <c r="C151" s="116">
        <f>131.1*1.0101</f>
        <v>132.42410999999998</v>
      </c>
      <c r="D151" s="116">
        <v>98.7</v>
      </c>
      <c r="E151" s="172">
        <f>131/99.8*101.1</f>
        <v>132.70641282565131</v>
      </c>
      <c r="F151" s="155">
        <f>+(F$121/103.3)*107.5</f>
        <v>102.92110358180059</v>
      </c>
      <c r="G151" s="118">
        <v>0.78</v>
      </c>
      <c r="H151" s="56">
        <f t="shared" si="25"/>
        <v>112.15457378426842</v>
      </c>
    </row>
    <row r="152" spans="1:10" ht="15" hidden="1" customHeight="1" x14ac:dyDescent="0.2">
      <c r="A152" s="11">
        <f t="shared" si="26"/>
        <v>2017</v>
      </c>
      <c r="B152" t="s">
        <v>11</v>
      </c>
      <c r="C152" s="116">
        <f>C151</f>
        <v>132.42410999999998</v>
      </c>
      <c r="D152" s="116">
        <v>98.7</v>
      </c>
      <c r="E152" s="172">
        <f>131/99.8*101.2</f>
        <v>132.8376753507014</v>
      </c>
      <c r="F152" s="155">
        <f>+(F$121/103.3)*107.9</f>
        <v>103.30406582768636</v>
      </c>
      <c r="G152" s="118">
        <v>0.67</v>
      </c>
      <c r="H152" s="56">
        <f t="shared" si="25"/>
        <v>112.04281644058202</v>
      </c>
    </row>
    <row r="153" spans="1:10" ht="15" hidden="1" customHeight="1" x14ac:dyDescent="0.2">
      <c r="A153" s="174">
        <f t="shared" si="26"/>
        <v>2017</v>
      </c>
      <c r="B153" s="175" t="s">
        <v>12</v>
      </c>
      <c r="C153" s="119">
        <f>C151</f>
        <v>132.42410999999998</v>
      </c>
      <c r="D153" s="119">
        <v>92.8</v>
      </c>
      <c r="E153" s="162">
        <f>131/99.8*101.4</f>
        <v>133.10020040080161</v>
      </c>
      <c r="F153" s="157">
        <f>+(F$121/103.3)*107.7</f>
        <v>103.11258470474348</v>
      </c>
      <c r="G153" s="120">
        <v>0.75</v>
      </c>
      <c r="H153" s="138">
        <f t="shared" si="25"/>
        <v>111.73341713333141</v>
      </c>
      <c r="J153" s="6"/>
    </row>
    <row r="154" spans="1:10" ht="15" hidden="1" customHeight="1" x14ac:dyDescent="0.2">
      <c r="A154" s="11">
        <f t="shared" si="26"/>
        <v>2017</v>
      </c>
      <c r="B154" t="s">
        <v>30</v>
      </c>
      <c r="C154" s="116">
        <f>131.4*1.0101</f>
        <v>132.72713999999999</v>
      </c>
      <c r="D154" s="116">
        <v>90.3</v>
      </c>
      <c r="E154" s="172">
        <f>131/99.8*101.3</f>
        <v>132.96893787575152</v>
      </c>
      <c r="F154" s="155">
        <f>+(F$121/103.3)*107.7</f>
        <v>103.11258470474348</v>
      </c>
      <c r="G154" s="118">
        <f t="shared" si="24"/>
        <v>0.75</v>
      </c>
      <c r="H154" s="56">
        <f t="shared" si="25"/>
        <v>111.73177200577281</v>
      </c>
    </row>
    <row r="155" spans="1:10" ht="15" hidden="1" customHeight="1" x14ac:dyDescent="0.2">
      <c r="A155" s="11">
        <f t="shared" si="26"/>
        <v>2017</v>
      </c>
      <c r="B155" t="s">
        <v>13</v>
      </c>
      <c r="C155" s="116">
        <f>C154</f>
        <v>132.72713999999999</v>
      </c>
      <c r="D155" s="116">
        <v>90.3</v>
      </c>
      <c r="E155" s="172">
        <f>131/99.8*101.2</f>
        <v>132.8376753507014</v>
      </c>
      <c r="F155" s="155">
        <f>+(F$121/103.3)*107.9</f>
        <v>103.30406582768636</v>
      </c>
      <c r="G155" s="118">
        <v>0.66</v>
      </c>
      <c r="H155" s="56">
        <f t="shared" si="25"/>
        <v>111.60918827743365</v>
      </c>
    </row>
    <row r="156" spans="1:10" ht="15" hidden="1" customHeight="1" x14ac:dyDescent="0.2">
      <c r="A156" s="13">
        <f t="shared" si="26"/>
        <v>2017</v>
      </c>
      <c r="B156" s="14" t="s">
        <v>14</v>
      </c>
      <c r="C156" s="119">
        <f>C154</f>
        <v>132.72713999999999</v>
      </c>
      <c r="D156" s="119">
        <v>90.3</v>
      </c>
      <c r="E156" s="162">
        <f>131/99.8*102</f>
        <v>133.88777555110221</v>
      </c>
      <c r="F156" s="157">
        <f>+F$121*(108.4/103.3)</f>
        <v>103.78276863504357</v>
      </c>
      <c r="G156" s="120">
        <v>0.63</v>
      </c>
      <c r="H156" s="138">
        <f t="shared" si="25"/>
        <v>111.69628909000294</v>
      </c>
    </row>
    <row r="157" spans="1:10" ht="15.75" hidden="1" customHeight="1" x14ac:dyDescent="0.2">
      <c r="A157" s="11">
        <f t="shared" si="26"/>
        <v>2017</v>
      </c>
      <c r="B157" t="s">
        <v>15</v>
      </c>
      <c r="C157" s="116">
        <f>132.2*1.0101</f>
        <v>133.53521999999998</v>
      </c>
      <c r="D157" s="116">
        <v>90.3</v>
      </c>
      <c r="E157" s="172">
        <f>131/99.8*101.7</f>
        <v>133.49398797595191</v>
      </c>
      <c r="F157" s="155">
        <f>+F$121*(108.3/103.3)</f>
        <v>103.68702807357212</v>
      </c>
      <c r="G157" s="118">
        <v>0.56999999999999995</v>
      </c>
      <c r="H157" s="56">
        <f t="shared" si="25"/>
        <v>112.07367414388708</v>
      </c>
      <c r="J157" s="11"/>
    </row>
    <row r="158" spans="1:10" ht="15" hidden="1" x14ac:dyDescent="0.2">
      <c r="A158" s="11">
        <f t="shared" si="26"/>
        <v>2017</v>
      </c>
      <c r="B158" t="s">
        <v>16</v>
      </c>
      <c r="C158" s="116">
        <f>132.2*1.0101</f>
        <v>133.53521999999998</v>
      </c>
      <c r="D158" s="116">
        <v>91.9</v>
      </c>
      <c r="E158" s="172">
        <f>131/99.8*101.8</f>
        <v>133.625250501002</v>
      </c>
      <c r="F158" s="155">
        <f>+F$121*(108.1/103.3)</f>
        <v>103.49554695062925</v>
      </c>
      <c r="G158" s="118">
        <v>0.52</v>
      </c>
      <c r="H158" s="56">
        <f t="shared" si="25"/>
        <v>112.10674916745913</v>
      </c>
    </row>
    <row r="159" spans="1:10" ht="15.75" hidden="1" thickBot="1" x14ac:dyDescent="0.25">
      <c r="A159" s="31">
        <f t="shared" si="26"/>
        <v>2017</v>
      </c>
      <c r="B159" s="32" t="s">
        <v>17</v>
      </c>
      <c r="C159" s="121">
        <f>132.2*1.0101</f>
        <v>133.53521999999998</v>
      </c>
      <c r="D159" s="121">
        <v>97.8</v>
      </c>
      <c r="E159" s="173">
        <f>131/99.8*101.9</f>
        <v>133.75651302605212</v>
      </c>
      <c r="F159" s="156">
        <f>+F$121*(108.5/103.3)</f>
        <v>103.87850919651501</v>
      </c>
      <c r="G159" s="122">
        <v>0.63</v>
      </c>
      <c r="H159" s="103">
        <f t="shared" si="25"/>
        <v>112.7453792086966</v>
      </c>
    </row>
    <row r="160" spans="1:10" ht="15" hidden="1" x14ac:dyDescent="0.2">
      <c r="A160" s="2">
        <v>2018</v>
      </c>
      <c r="B160" s="144" t="s">
        <v>7</v>
      </c>
      <c r="C160" s="116">
        <f>132.9*1.0101</f>
        <v>134.24229</v>
      </c>
      <c r="D160" s="116">
        <v>96.1</v>
      </c>
      <c r="E160" s="172">
        <f>131/99.8*101.6</f>
        <v>133.36272545090179</v>
      </c>
      <c r="F160" s="155">
        <f>+F$121*(108.7/103.3)</f>
        <v>104.0699903194579</v>
      </c>
      <c r="G160" s="118">
        <v>0.67</v>
      </c>
      <c r="H160" s="56">
        <f t="shared" ref="H160:H171" si="27">100+((C160-$C$40)/$C$40*100*$C$2)+((D160-$D$40)/$D$40*100*$D$2)+((E160-$E$40)/$E$40*100*$E$2)+((F160-$F$40)/$F$40*100*$F$2)+((G160-$G$40)/$G$40*100*$G$2)</f>
        <v>113.11265885517673</v>
      </c>
    </row>
    <row r="161" spans="1:17" ht="15" hidden="1" x14ac:dyDescent="0.2">
      <c r="A161" s="11">
        <f>A160</f>
        <v>2018</v>
      </c>
      <c r="B161" t="s">
        <v>8</v>
      </c>
      <c r="C161" s="116">
        <f>132.9*1.0101</f>
        <v>134.24229</v>
      </c>
      <c r="D161" s="116">
        <v>89.4</v>
      </c>
      <c r="E161" s="172">
        <f>131/99.8*101.3</f>
        <v>132.96893787575152</v>
      </c>
      <c r="F161" s="155">
        <f>+F$121*(108.3/103.3)</f>
        <v>103.68702807357212</v>
      </c>
      <c r="G161" s="118">
        <v>0.61</v>
      </c>
      <c r="H161" s="56">
        <f t="shared" si="27"/>
        <v>112.46897656409062</v>
      </c>
      <c r="J161" s="11"/>
      <c r="Q161" s="56"/>
    </row>
    <row r="162" spans="1:17" ht="15" hidden="1" x14ac:dyDescent="0.2">
      <c r="A162" s="13">
        <f t="shared" ref="A162:A171" si="28">A161</f>
        <v>2018</v>
      </c>
      <c r="B162" s="14" t="s">
        <v>9</v>
      </c>
      <c r="C162" s="119">
        <f>132.9*1.0101</f>
        <v>134.24229</v>
      </c>
      <c r="D162" s="119">
        <v>93.2</v>
      </c>
      <c r="E162" s="162">
        <f>131/99.8*101</f>
        <v>132.57515030060122</v>
      </c>
      <c r="F162" s="157">
        <f>+F$121*(108.9/103.3)</f>
        <v>104.26147144240079</v>
      </c>
      <c r="G162" s="120">
        <v>0.81</v>
      </c>
      <c r="H162" s="138">
        <f t="shared" si="27"/>
        <v>113.06631516122607</v>
      </c>
    </row>
    <row r="163" spans="1:17" ht="15" hidden="1" x14ac:dyDescent="0.2">
      <c r="A163" s="11">
        <f t="shared" si="28"/>
        <v>2018</v>
      </c>
      <c r="B163" t="s">
        <v>10</v>
      </c>
      <c r="C163" s="116">
        <f>133.4*1.0101</f>
        <v>134.74734000000001</v>
      </c>
      <c r="D163" s="116">
        <v>93.2</v>
      </c>
      <c r="E163" s="172">
        <f>131/99.8*101.7</f>
        <v>133.49398797595191</v>
      </c>
      <c r="F163" s="155">
        <f>+F$121*(109/103.3)</f>
        <v>104.35721200387222</v>
      </c>
      <c r="G163" s="118">
        <v>0.77</v>
      </c>
      <c r="H163" s="56">
        <f t="shared" si="27"/>
        <v>113.40531025761173</v>
      </c>
    </row>
    <row r="164" spans="1:17" ht="15" hidden="1" x14ac:dyDescent="0.2">
      <c r="A164" s="11">
        <f t="shared" si="28"/>
        <v>2018</v>
      </c>
      <c r="B164" t="s">
        <v>11</v>
      </c>
      <c r="C164" s="116">
        <f>133.4*1.0101</f>
        <v>134.74734000000001</v>
      </c>
      <c r="D164" s="116">
        <v>94</v>
      </c>
      <c r="E164" s="172">
        <f>131/99.8*101.7</f>
        <v>133.49398797595191</v>
      </c>
      <c r="F164" s="155">
        <f>+F$121*(109/103.3)</f>
        <v>104.35721200387222</v>
      </c>
      <c r="G164" s="118">
        <v>0.62</v>
      </c>
      <c r="H164" s="56">
        <f t="shared" si="27"/>
        <v>113.24315548594096</v>
      </c>
      <c r="I164" s="11"/>
    </row>
    <row r="165" spans="1:17" ht="15" hidden="1" x14ac:dyDescent="0.2">
      <c r="A165" s="174">
        <f t="shared" si="28"/>
        <v>2018</v>
      </c>
      <c r="B165" s="175" t="s">
        <v>12</v>
      </c>
      <c r="C165" s="119">
        <f>133.4*1.0101</f>
        <v>134.74734000000001</v>
      </c>
      <c r="D165" s="119">
        <v>94.9</v>
      </c>
      <c r="E165" s="162">
        <f>131/99.8*102.2</f>
        <v>134.15030060120242</v>
      </c>
      <c r="F165" s="157">
        <f>+F$121*(109.1/103.3)</f>
        <v>104.45295256534367</v>
      </c>
      <c r="G165" s="120">
        <v>0.76</v>
      </c>
      <c r="H165" s="138">
        <f t="shared" si="27"/>
        <v>113.57482485055604</v>
      </c>
    </row>
    <row r="166" spans="1:17" ht="15" hidden="1" x14ac:dyDescent="0.2">
      <c r="A166" s="11">
        <f t="shared" si="28"/>
        <v>2018</v>
      </c>
      <c r="B166" t="s">
        <v>30</v>
      </c>
      <c r="C166" s="116">
        <f>134*1.0101</f>
        <v>135.35339999999999</v>
      </c>
      <c r="D166" s="116">
        <v>94.9</v>
      </c>
      <c r="E166" s="172">
        <f>131/99.8*102.4</f>
        <v>134.41282565130263</v>
      </c>
      <c r="F166" s="155">
        <f>+F$121*(109.2/103.3)</f>
        <v>104.54869312681511</v>
      </c>
      <c r="G166" s="118">
        <v>0.6</v>
      </c>
      <c r="H166" s="56">
        <f t="shared" si="27"/>
        <v>113.749825588297</v>
      </c>
    </row>
    <row r="167" spans="1:17" ht="15" hidden="1" x14ac:dyDescent="0.2">
      <c r="A167" s="11">
        <f t="shared" si="28"/>
        <v>2018</v>
      </c>
      <c r="B167" t="s">
        <v>13</v>
      </c>
      <c r="C167" s="116">
        <f>134*1.0101</f>
        <v>135.35339999999999</v>
      </c>
      <c r="D167" s="116">
        <v>96.6</v>
      </c>
      <c r="E167" s="172">
        <f>131/99.8*102.3</f>
        <v>134.28156312625251</v>
      </c>
      <c r="F167" s="155">
        <f>+F$121*(108.2/103.3)</f>
        <v>103.59128751210068</v>
      </c>
      <c r="G167" s="118">
        <v>0.53</v>
      </c>
      <c r="H167" s="56">
        <f t="shared" si="27"/>
        <v>113.66146041819184</v>
      </c>
    </row>
    <row r="168" spans="1:17" ht="15" hidden="1" x14ac:dyDescent="0.2">
      <c r="A168" s="13">
        <f t="shared" si="28"/>
        <v>2018</v>
      </c>
      <c r="B168" s="14" t="s">
        <v>14</v>
      </c>
      <c r="C168" s="119">
        <f>134*1.0101</f>
        <v>135.35339999999999</v>
      </c>
      <c r="D168" s="119">
        <v>97.4</v>
      </c>
      <c r="E168" s="162">
        <f>131/99.8*103.1</f>
        <v>135.33166332665331</v>
      </c>
      <c r="F168" s="157">
        <f>+F$121*(108.8/103.3)</f>
        <v>104.16573088092933</v>
      </c>
      <c r="G168" s="120">
        <v>0.63</v>
      </c>
      <c r="H168" s="138">
        <f t="shared" si="27"/>
        <v>114.00716792262767</v>
      </c>
    </row>
    <row r="169" spans="1:17" ht="15" hidden="1" x14ac:dyDescent="0.2">
      <c r="A169" s="11">
        <f t="shared" si="28"/>
        <v>2018</v>
      </c>
      <c r="B169" t="s">
        <v>15</v>
      </c>
      <c r="C169" s="116">
        <f>135.2*1.0101</f>
        <v>136.56551999999999</v>
      </c>
      <c r="D169" s="177">
        <v>100.8</v>
      </c>
      <c r="E169" s="172">
        <f>131/99.8*102.7</f>
        <v>134.80661322645292</v>
      </c>
      <c r="F169" s="155">
        <f>+F$121*(108.7/103.3)</f>
        <v>104.0699903194579</v>
      </c>
      <c r="G169" s="118">
        <v>0.69</v>
      </c>
      <c r="H169" s="56">
        <f t="shared" si="27"/>
        <v>115.04979222358025</v>
      </c>
    </row>
    <row r="170" spans="1:17" ht="15" hidden="1" x14ac:dyDescent="0.2">
      <c r="A170" s="11">
        <f t="shared" si="28"/>
        <v>2018</v>
      </c>
      <c r="B170" t="s">
        <v>16</v>
      </c>
      <c r="C170" s="116">
        <f>135.2*1.0101</f>
        <v>136.56551999999999</v>
      </c>
      <c r="D170" s="116">
        <v>102.5</v>
      </c>
      <c r="E170" s="172">
        <f>131/99.8*102.4</f>
        <v>134.41282565130263</v>
      </c>
      <c r="F170" s="155">
        <f>+F$121*(109.4/103.3)</f>
        <v>104.74017424975801</v>
      </c>
      <c r="G170" s="118">
        <v>0.57999999999999996</v>
      </c>
      <c r="H170" s="56">
        <f t="shared" si="27"/>
        <v>115.04989027896636</v>
      </c>
    </row>
    <row r="171" spans="1:17" ht="15.75" hidden="1" thickBot="1" x14ac:dyDescent="0.25">
      <c r="A171" s="31">
        <f t="shared" si="28"/>
        <v>2018</v>
      </c>
      <c r="B171" s="32" t="s">
        <v>17</v>
      </c>
      <c r="C171" s="121">
        <f>135.2*1.0101</f>
        <v>136.56551999999999</v>
      </c>
      <c r="D171" s="121">
        <v>104.1</v>
      </c>
      <c r="E171" s="173">
        <f>131/99.8*102.7</f>
        <v>134.80661322645292</v>
      </c>
      <c r="F171" s="156">
        <f>+F$121*(109.9/103.3)</f>
        <v>105.21887705711521</v>
      </c>
      <c r="G171" s="122">
        <v>0.62</v>
      </c>
      <c r="H171" s="103">
        <f t="shared" si="27"/>
        <v>115.30451724387144</v>
      </c>
    </row>
    <row r="172" spans="1:17" ht="15" hidden="1" x14ac:dyDescent="0.2">
      <c r="A172" s="2">
        <v>2019</v>
      </c>
      <c r="B172" s="144" t="s">
        <v>7</v>
      </c>
      <c r="C172" s="116">
        <f>135.8*1.0101</f>
        <v>137.17158000000001</v>
      </c>
      <c r="D172" s="116">
        <v>104.1</v>
      </c>
      <c r="E172" s="172">
        <f>131/99.8*102.4</f>
        <v>134.41282565130263</v>
      </c>
      <c r="F172" s="155">
        <f>+F$121*(109.9/103.3)</f>
        <v>105.21887705711521</v>
      </c>
      <c r="G172" s="118">
        <v>0.63</v>
      </c>
      <c r="H172" s="56">
        <f t="shared" ref="H172:H183" si="29">100+((C172-$C$40)/$C$40*100*$C$2)+((D172-$D$40)/$D$40*100*$D$2)+((E172-$E$40)/$E$40*100*$E$2)+((F172-$F$40)/$F$40*100*$F$2)+((G172-$G$40)/$G$40*100*$G$2)</f>
        <v>115.66799263303969</v>
      </c>
    </row>
    <row r="173" spans="1:17" ht="15" hidden="1" x14ac:dyDescent="0.2">
      <c r="A173" s="11">
        <f>A172</f>
        <v>2019</v>
      </c>
      <c r="B173" t="s">
        <v>8</v>
      </c>
      <c r="C173" s="116">
        <f>135.8*1.0101</f>
        <v>137.17158000000001</v>
      </c>
      <c r="D173" s="116">
        <v>104.1</v>
      </c>
      <c r="E173" s="172">
        <f>131/99.8*102.1</f>
        <v>134.0190380761523</v>
      </c>
      <c r="F173" s="155">
        <f>+F$121*(109.7/103.3)</f>
        <v>105.02739593417233</v>
      </c>
      <c r="G173" s="118">
        <f t="shared" si="24"/>
        <v>0.63</v>
      </c>
      <c r="H173" s="56">
        <f t="shared" si="29"/>
        <v>115.61758789485994</v>
      </c>
    </row>
    <row r="174" spans="1:17" ht="15" hidden="1" x14ac:dyDescent="0.2">
      <c r="A174" s="13">
        <f t="shared" ref="A174:A183" si="30">A173</f>
        <v>2019</v>
      </c>
      <c r="B174" s="14" t="s">
        <v>9</v>
      </c>
      <c r="C174" s="119">
        <f>135.8*1.0101</f>
        <v>137.17158000000001</v>
      </c>
      <c r="D174" s="119">
        <v>98.9</v>
      </c>
      <c r="E174" s="162">
        <f>131/99.8*102.3</f>
        <v>134.28156312625251</v>
      </c>
      <c r="F174" s="157">
        <f>+F$173*(103.3/103.6)</f>
        <v>104.72326254826257</v>
      </c>
      <c r="G174" s="120">
        <v>0.68</v>
      </c>
      <c r="H174" s="138">
        <f t="shared" si="29"/>
        <v>115.30328639318994</v>
      </c>
    </row>
    <row r="175" spans="1:17" ht="15" hidden="1" x14ac:dyDescent="0.2">
      <c r="A175" s="11">
        <f t="shared" si="30"/>
        <v>2019</v>
      </c>
      <c r="B175" t="s">
        <v>10</v>
      </c>
      <c r="C175" s="116">
        <f>136.4*1.0101</f>
        <v>137.77764000000002</v>
      </c>
      <c r="D175" s="116">
        <v>99.7</v>
      </c>
      <c r="E175" s="172">
        <f>131/99.8*102.8</f>
        <v>134.93787575150301</v>
      </c>
      <c r="F175" s="155">
        <f>+F$173*(103.6/103.6)</f>
        <v>105.02739593417233</v>
      </c>
      <c r="G175" s="118">
        <v>0.55000000000000004</v>
      </c>
      <c r="H175" s="56">
        <f t="shared" si="29"/>
        <v>115.63242971967193</v>
      </c>
    </row>
    <row r="176" spans="1:17" ht="15" hidden="1" x14ac:dyDescent="0.2">
      <c r="A176" s="11">
        <f t="shared" si="30"/>
        <v>2019</v>
      </c>
      <c r="B176" t="s">
        <v>11</v>
      </c>
      <c r="C176" s="116">
        <f>136.4*1.0101</f>
        <v>137.77764000000002</v>
      </c>
      <c r="D176" s="116">
        <v>93.8</v>
      </c>
      <c r="E176" s="172">
        <f>131/99.8*102.9</f>
        <v>135.06913827655313</v>
      </c>
      <c r="F176" s="155">
        <f>+F$173*(103.7/103.6)</f>
        <v>105.12877372947561</v>
      </c>
      <c r="G176" s="118">
        <f t="shared" si="24"/>
        <v>0.55000000000000004</v>
      </c>
      <c r="H176" s="56">
        <f t="shared" si="29"/>
        <v>115.22556229213708</v>
      </c>
    </row>
    <row r="177" spans="1:10" ht="15" hidden="1" x14ac:dyDescent="0.2">
      <c r="A177" s="13">
        <f t="shared" si="30"/>
        <v>2019</v>
      </c>
      <c r="B177" s="14" t="s">
        <v>12</v>
      </c>
      <c r="C177" s="119">
        <f>136.4*1.0101</f>
        <v>137.77764000000002</v>
      </c>
      <c r="D177" s="119">
        <v>98</v>
      </c>
      <c r="E177" s="162">
        <f>131/99.8*103.2</f>
        <v>135.46292585170343</v>
      </c>
      <c r="F177" s="157">
        <f>+F$173*(104.5/103.6)</f>
        <v>105.93979609190164</v>
      </c>
      <c r="G177" s="120">
        <v>0.59</v>
      </c>
      <c r="H177" s="138">
        <f t="shared" si="29"/>
        <v>115.70281951913525</v>
      </c>
    </row>
    <row r="178" spans="1:10" ht="15" hidden="1" x14ac:dyDescent="0.2">
      <c r="A178" s="11">
        <f t="shared" si="30"/>
        <v>2019</v>
      </c>
      <c r="B178" t="s">
        <v>30</v>
      </c>
      <c r="C178" s="116">
        <f>136.6*1.0101</f>
        <v>137.97966</v>
      </c>
      <c r="D178" s="116">
        <v>90.5</v>
      </c>
      <c r="E178" s="172">
        <f>131/99.8*103.1</f>
        <v>135.33166332665331</v>
      </c>
      <c r="F178" s="155">
        <f>+F$173*(104.6/103.6)</f>
        <v>106.04117388720489</v>
      </c>
      <c r="G178" s="118">
        <v>0.56999999999999995</v>
      </c>
      <c r="H178" s="56">
        <f t="shared" si="29"/>
        <v>115.25669848800699</v>
      </c>
    </row>
    <row r="179" spans="1:10" ht="15" hidden="1" x14ac:dyDescent="0.2">
      <c r="A179" s="11">
        <f t="shared" si="30"/>
        <v>2019</v>
      </c>
      <c r="B179" t="s">
        <v>13</v>
      </c>
      <c r="C179" s="116">
        <f>136.6*1.0101</f>
        <v>137.97966</v>
      </c>
      <c r="D179" s="116">
        <v>89.6</v>
      </c>
      <c r="E179" s="172">
        <f>131/99.8*102.9</f>
        <v>135.06913827655313</v>
      </c>
      <c r="F179" s="155">
        <f>+F$173*(105/103.6)</f>
        <v>106.44668506841791</v>
      </c>
      <c r="G179" s="118">
        <v>0.39</v>
      </c>
      <c r="H179" s="56">
        <f t="shared" si="29"/>
        <v>114.94863587847202</v>
      </c>
    </row>
    <row r="180" spans="1:10" ht="15" hidden="1" x14ac:dyDescent="0.2">
      <c r="A180" s="13">
        <f t="shared" si="30"/>
        <v>2019</v>
      </c>
      <c r="B180" s="14" t="s">
        <v>14</v>
      </c>
      <c r="C180" s="119">
        <f>136.6*1.0101</f>
        <v>137.97966</v>
      </c>
      <c r="D180" s="119">
        <v>86.3</v>
      </c>
      <c r="E180" s="162">
        <f>131/99.8*103.5</f>
        <v>135.85671342685373</v>
      </c>
      <c r="F180" s="157">
        <f>+F$173*(104.4/103.6)</f>
        <v>105.83841829659839</v>
      </c>
      <c r="G180" s="120">
        <v>0.3</v>
      </c>
      <c r="H180" s="138">
        <f t="shared" si="29"/>
        <v>114.5761561303585</v>
      </c>
    </row>
    <row r="181" spans="1:10" ht="15" hidden="1" x14ac:dyDescent="0.2">
      <c r="A181" s="11">
        <f t="shared" si="30"/>
        <v>2019</v>
      </c>
      <c r="B181" t="s">
        <v>15</v>
      </c>
      <c r="C181" s="116">
        <f>137.8*1.0101</f>
        <v>139.19178000000002</v>
      </c>
      <c r="D181" s="177">
        <v>87.1</v>
      </c>
      <c r="E181" s="172">
        <f>131/99.8*103.1</f>
        <v>135.33166332665331</v>
      </c>
      <c r="F181" s="155">
        <f>+F$173*(104.1/103.6)</f>
        <v>105.5342849106886</v>
      </c>
      <c r="G181" s="118">
        <v>0.21</v>
      </c>
      <c r="H181" s="56">
        <f t="shared" si="29"/>
        <v>115.18878717714618</v>
      </c>
    </row>
    <row r="182" spans="1:10" ht="15" hidden="1" x14ac:dyDescent="0.2">
      <c r="A182" s="11">
        <f t="shared" si="30"/>
        <v>2019</v>
      </c>
      <c r="B182" t="s">
        <v>16</v>
      </c>
      <c r="C182" s="116">
        <f>137.8*1.0101</f>
        <v>139.19178000000002</v>
      </c>
      <c r="D182" s="116">
        <v>84.6</v>
      </c>
      <c r="E182" s="172">
        <f>131/99.8*102.9</f>
        <v>135.06913827655313</v>
      </c>
      <c r="F182" s="155">
        <f>+F$173*(103.9/103.6)</f>
        <v>105.3315293200821</v>
      </c>
      <c r="G182" s="118">
        <v>0.26</v>
      </c>
      <c r="H182" s="56">
        <f t="shared" si="29"/>
        <v>115.03966541021245</v>
      </c>
    </row>
    <row r="183" spans="1:10" ht="15.75" hidden="1" thickBot="1" x14ac:dyDescent="0.25">
      <c r="A183" s="31">
        <f t="shared" si="30"/>
        <v>2019</v>
      </c>
      <c r="B183" s="32" t="s">
        <v>17</v>
      </c>
      <c r="C183" s="121">
        <f>137.8*1.0101</f>
        <v>139.19178000000002</v>
      </c>
      <c r="D183" s="121">
        <v>93.8</v>
      </c>
      <c r="E183" s="173">
        <f>131/99.8*103.3</f>
        <v>135.59418837675352</v>
      </c>
      <c r="F183" s="156">
        <f>+F$173*(103.7/103.6)</f>
        <v>105.12877372947561</v>
      </c>
      <c r="G183" s="122">
        <v>0.34</v>
      </c>
      <c r="H183" s="103">
        <f t="shared" si="29"/>
        <v>115.84376437969911</v>
      </c>
      <c r="J183" s="32"/>
    </row>
    <row r="184" spans="1:10" ht="15" hidden="1" x14ac:dyDescent="0.2">
      <c r="A184" s="2">
        <v>2020</v>
      </c>
      <c r="B184" s="144" t="s">
        <v>7</v>
      </c>
      <c r="C184" s="116">
        <f>138.6*1.0101</f>
        <v>139.99985999999998</v>
      </c>
      <c r="D184" s="116">
        <v>95.5</v>
      </c>
      <c r="E184" s="172">
        <f>131/99.8*103.1</f>
        <v>135.33166332665331</v>
      </c>
      <c r="F184" s="155">
        <f>+F$173*(103.9/103.6)</f>
        <v>105.3315293200821</v>
      </c>
      <c r="G184" s="118">
        <v>0.23</v>
      </c>
      <c r="H184" s="56">
        <f t="shared" ref="H184:H195" si="31">100+((C184-$C$40)/$C$40*100*$C$2)+((D184-$D$40)/$D$40*100*$D$2)+((E184-$E$40)/$E$40*100*$E$2)+((F184-$F$40)/$F$40*100*$F$2)+((G184-$G$40)/$G$40*100*$G$2)</f>
        <v>116.3119319333511</v>
      </c>
    </row>
    <row r="185" spans="1:10" ht="15" hidden="1" x14ac:dyDescent="0.2">
      <c r="A185" s="11">
        <f>A184</f>
        <v>2020</v>
      </c>
      <c r="B185" t="s">
        <v>8</v>
      </c>
      <c r="C185" s="116">
        <f>138.6*1.0101</f>
        <v>139.99985999999998</v>
      </c>
      <c r="D185" s="116">
        <v>96.4</v>
      </c>
      <c r="E185" s="172">
        <f>131/99.8*102.9</f>
        <v>135.06913827655313</v>
      </c>
      <c r="F185" s="155">
        <f>+F$173*(104/103.6)</f>
        <v>105.43290711538535</v>
      </c>
      <c r="G185" s="118">
        <v>0.36</v>
      </c>
      <c r="H185" s="56">
        <f t="shared" si="31"/>
        <v>116.55790906423077</v>
      </c>
    </row>
    <row r="186" spans="1:10" ht="15" hidden="1" x14ac:dyDescent="0.2">
      <c r="A186" s="13">
        <f t="shared" ref="A186:A195" si="32">A185</f>
        <v>2020</v>
      </c>
      <c r="B186" s="14" t="s">
        <v>9</v>
      </c>
      <c r="C186" s="119">
        <f>138.6*1.0101</f>
        <v>139.99985999999998</v>
      </c>
      <c r="D186" s="119">
        <v>90.5</v>
      </c>
      <c r="E186" s="162">
        <f>131/99.8*103</f>
        <v>135.20040080160322</v>
      </c>
      <c r="F186" s="157">
        <f>+F$173*(104.9/103.6)</f>
        <v>106.34530727311467</v>
      </c>
      <c r="G186" s="120">
        <v>0.28999999999999998</v>
      </c>
      <c r="H186" s="138">
        <f t="shared" si="31"/>
        <v>116.13184071497163</v>
      </c>
    </row>
    <row r="187" spans="1:10" ht="15" hidden="1" x14ac:dyDescent="0.2">
      <c r="A187" s="11">
        <f t="shared" si="32"/>
        <v>2020</v>
      </c>
      <c r="B187" t="s">
        <v>10</v>
      </c>
      <c r="C187" s="116">
        <f>139.2*1.0101</f>
        <v>140.60592</v>
      </c>
      <c r="D187" s="116">
        <v>86.3</v>
      </c>
      <c r="E187" s="172">
        <f>131/99.8*103.6</f>
        <v>135.98797595190382</v>
      </c>
      <c r="F187" s="155">
        <f>+F$173*(105/103.6)</f>
        <v>106.44668506841791</v>
      </c>
      <c r="G187" s="118">
        <v>0.1</v>
      </c>
      <c r="H187" s="56">
        <f t="shared" si="31"/>
        <v>115.99996202382569</v>
      </c>
    </row>
    <row r="188" spans="1:10" ht="15" hidden="1" x14ac:dyDescent="0.2">
      <c r="A188" s="11">
        <f t="shared" si="32"/>
        <v>2020</v>
      </c>
      <c r="B188" t="s">
        <v>11</v>
      </c>
      <c r="C188" s="116">
        <f>139.2*1.0101</f>
        <v>140.60592</v>
      </c>
      <c r="D188" s="116">
        <v>85.4</v>
      </c>
      <c r="E188" s="172">
        <f>131/99.8*103.3</f>
        <v>135.59418837675352</v>
      </c>
      <c r="F188" s="155">
        <f>+F$173*(105.2/103.6)</f>
        <v>106.64944065902444</v>
      </c>
      <c r="G188" s="118">
        <v>0.45</v>
      </c>
      <c r="H188" s="56">
        <f t="shared" si="31"/>
        <v>116.43856783207529</v>
      </c>
    </row>
    <row r="189" spans="1:10" ht="15" hidden="1" x14ac:dyDescent="0.2">
      <c r="A189" s="13">
        <f t="shared" si="32"/>
        <v>2020</v>
      </c>
      <c r="B189" s="14" t="s">
        <v>12</v>
      </c>
      <c r="C189" s="119">
        <f>139.2*1.0101</f>
        <v>140.60592</v>
      </c>
      <c r="D189" s="119">
        <v>81.2</v>
      </c>
      <c r="E189" s="162">
        <f>131/99.8*103.2</f>
        <v>135.46292585170343</v>
      </c>
      <c r="F189" s="157">
        <f>+F$173*(105.2/103.6)</f>
        <v>106.64944065902444</v>
      </c>
      <c r="G189" s="120">
        <v>0.35</v>
      </c>
      <c r="H189" s="138">
        <f t="shared" si="31"/>
        <v>115.97724123317413</v>
      </c>
    </row>
    <row r="190" spans="1:10" ht="15" hidden="1" x14ac:dyDescent="0.2">
      <c r="A190" s="11">
        <f t="shared" si="32"/>
        <v>2020</v>
      </c>
      <c r="B190" t="s">
        <v>30</v>
      </c>
      <c r="C190" s="116">
        <f>139.8*1.0101</f>
        <v>141.21198000000001</v>
      </c>
      <c r="D190" s="116">
        <v>81.2</v>
      </c>
      <c r="E190" s="172">
        <f>131/99.8*103.1</f>
        <v>135.33166332665331</v>
      </c>
      <c r="F190" s="155">
        <f>+F$173*(105.3/103.6)</f>
        <v>106.75081845432769</v>
      </c>
      <c r="G190" s="118">
        <v>0.23</v>
      </c>
      <c r="H190" s="56">
        <f t="shared" si="31"/>
        <v>116.18083799405504</v>
      </c>
    </row>
    <row r="191" spans="1:10" ht="15" hidden="1" x14ac:dyDescent="0.2">
      <c r="A191" s="11">
        <f t="shared" si="32"/>
        <v>2020</v>
      </c>
      <c r="B191" t="s">
        <v>13</v>
      </c>
      <c r="C191" s="116">
        <f>139.8*1.0101</f>
        <v>141.21198000000001</v>
      </c>
      <c r="D191" s="116">
        <v>81.2</v>
      </c>
      <c r="E191" s="172">
        <f>131/99.8*103.2</f>
        <v>135.46292585170343</v>
      </c>
      <c r="F191" s="155">
        <f>+F$173*(105.5/103.6)</f>
        <v>106.95357404493419</v>
      </c>
      <c r="G191" s="118">
        <v>0.22</v>
      </c>
      <c r="H191" s="56">
        <f t="shared" si="31"/>
        <v>116.19727230163735</v>
      </c>
    </row>
    <row r="192" spans="1:10" ht="15" hidden="1" x14ac:dyDescent="0.2">
      <c r="A192" s="13">
        <f t="shared" si="32"/>
        <v>2020</v>
      </c>
      <c r="B192" s="14" t="s">
        <v>14</v>
      </c>
      <c r="C192" s="119">
        <f>139.8*1.0101</f>
        <v>141.21198000000001</v>
      </c>
      <c r="D192" s="119">
        <v>82.9</v>
      </c>
      <c r="E192" s="162">
        <f>131/99.8*104</f>
        <v>136.51302605210421</v>
      </c>
      <c r="F192" s="157">
        <f>+F$173*(105.7/103.6)</f>
        <v>107.1563296355407</v>
      </c>
      <c r="G192" s="120">
        <v>0.17</v>
      </c>
      <c r="H192" s="138">
        <f t="shared" si="31"/>
        <v>116.34979254630956</v>
      </c>
    </row>
    <row r="193" spans="1:10" ht="15" hidden="1" x14ac:dyDescent="0.2">
      <c r="A193" s="11">
        <f t="shared" si="32"/>
        <v>2020</v>
      </c>
      <c r="B193" t="s">
        <v>15</v>
      </c>
      <c r="C193" s="116">
        <f>140.2*1.0101</f>
        <v>141.61601999999999</v>
      </c>
      <c r="D193" s="116">
        <v>83.7</v>
      </c>
      <c r="E193" s="172">
        <f>131/99.8*103.6</f>
        <v>135.98797595190382</v>
      </c>
      <c r="F193" s="155">
        <f>+F$173*(106/103.6)</f>
        <v>107.46046302145045</v>
      </c>
      <c r="G193" s="118">
        <v>0.22</v>
      </c>
      <c r="H193" s="56">
        <f t="shared" si="31"/>
        <v>116.72453755021664</v>
      </c>
    </row>
    <row r="194" spans="1:10" ht="15" hidden="1" x14ac:dyDescent="0.2">
      <c r="A194" s="11">
        <f t="shared" si="32"/>
        <v>2020</v>
      </c>
      <c r="B194" t="s">
        <v>16</v>
      </c>
      <c r="C194" s="116">
        <f>140.2*1.0101</f>
        <v>141.61601999999999</v>
      </c>
      <c r="D194" s="116">
        <v>82.9</v>
      </c>
      <c r="E194" s="172">
        <f>131/99.8*103.5</f>
        <v>135.85671342685373</v>
      </c>
      <c r="F194" s="155">
        <f>+F$173*(105.9/103.6)</f>
        <v>107.3590852261472</v>
      </c>
      <c r="G194" s="118">
        <v>0.15</v>
      </c>
      <c r="H194" s="56">
        <f t="shared" si="31"/>
        <v>116.54317236449836</v>
      </c>
    </row>
    <row r="195" spans="1:10" ht="15.75" hidden="1" thickBot="1" x14ac:dyDescent="0.25">
      <c r="A195" s="31">
        <f t="shared" si="32"/>
        <v>2020</v>
      </c>
      <c r="B195" s="32" t="s">
        <v>17</v>
      </c>
      <c r="C195" s="121">
        <f>140.2*1.0101</f>
        <v>141.61601999999999</v>
      </c>
      <c r="D195" s="121">
        <v>86.3</v>
      </c>
      <c r="E195" s="173">
        <f>131/99.8*103.7</f>
        <v>136.11923847695391</v>
      </c>
      <c r="F195" s="156">
        <f>+F$173*(105.7/103.6)</f>
        <v>107.1563296355407</v>
      </c>
      <c r="G195" s="122">
        <v>0.08</v>
      </c>
      <c r="H195" s="103">
        <f t="shared" si="31"/>
        <v>116.68639919533865</v>
      </c>
      <c r="J195" s="32"/>
    </row>
    <row r="196" spans="1:10" ht="15" hidden="1" x14ac:dyDescent="0.2">
      <c r="A196" s="2">
        <v>2021</v>
      </c>
      <c r="B196" s="144" t="s">
        <v>7</v>
      </c>
      <c r="C196" s="116">
        <f>141*1.0101</f>
        <v>142.42410000000001</v>
      </c>
      <c r="D196" s="116">
        <v>78.7</v>
      </c>
      <c r="E196" s="172">
        <f>131/99.8*103.6</f>
        <v>135.98797595190382</v>
      </c>
      <c r="F196" s="155">
        <f>+F$173*(106.1/103.6)</f>
        <v>107.5618408167537</v>
      </c>
      <c r="G196" s="118">
        <v>0.15</v>
      </c>
      <c r="H196" s="56">
        <f t="shared" ref="H196:H207" si="33">100+((C196-$C$40)/$C$40*100*$C$2)+((D196-$D$40)/$D$40*100*$D$2)+((E196-$E$40)/$E$40*100*$E$2)+((F196-$F$40)/$F$40*100*$F$2)+((G196-$G$40)/$G$40*100*$G$2)</f>
        <v>116.77591400890186</v>
      </c>
    </row>
    <row r="197" spans="1:10" ht="15" hidden="1" x14ac:dyDescent="0.2">
      <c r="A197" s="11">
        <f>A196</f>
        <v>2021</v>
      </c>
      <c r="B197" t="s">
        <v>8</v>
      </c>
      <c r="C197" s="116">
        <f>141*1.0101</f>
        <v>142.42410000000001</v>
      </c>
      <c r="D197" s="116">
        <v>82</v>
      </c>
      <c r="E197" s="172">
        <f>131/99.8*103.4</f>
        <v>135.72545090180361</v>
      </c>
      <c r="F197" s="155">
        <f>+F$173*(105.8/103.6)</f>
        <v>107.25770743084395</v>
      </c>
      <c r="G197" s="118">
        <v>-0.01</v>
      </c>
      <c r="H197" s="56">
        <f t="shared" si="33"/>
        <v>116.72846544076764</v>
      </c>
    </row>
    <row r="198" spans="1:10" ht="15" hidden="1" x14ac:dyDescent="0.2">
      <c r="A198" s="13">
        <f t="shared" ref="A198:A207" si="34">A197</f>
        <v>2021</v>
      </c>
      <c r="B198" s="14" t="s">
        <v>9</v>
      </c>
      <c r="C198" s="119">
        <f>141*1.0101</f>
        <v>142.42410000000001</v>
      </c>
      <c r="D198" s="119">
        <v>81.2</v>
      </c>
      <c r="E198" s="162">
        <f>131/99.8*103.6</f>
        <v>135.98797595190382</v>
      </c>
      <c r="F198" s="157">
        <f>+F$173*(106.9/103.6)</f>
        <v>108.37286317917976</v>
      </c>
      <c r="G198" s="120">
        <v>0.14000000000000001</v>
      </c>
      <c r="H198" s="138">
        <f t="shared" si="33"/>
        <v>117.02592282193282</v>
      </c>
    </row>
    <row r="199" spans="1:10" ht="15" hidden="1" x14ac:dyDescent="0.2">
      <c r="A199" s="11">
        <f t="shared" si="34"/>
        <v>2021</v>
      </c>
      <c r="B199" t="s">
        <v>10</v>
      </c>
      <c r="C199" s="116">
        <f>141.6*1.0101</f>
        <v>143.03016</v>
      </c>
      <c r="D199" s="116">
        <v>87.9</v>
      </c>
      <c r="E199" s="172">
        <f>131/99.8*104.2</f>
        <v>136.77555110220442</v>
      </c>
      <c r="F199" s="155">
        <f>+F$173*(107.1/103.6)</f>
        <v>108.57561876978626</v>
      </c>
      <c r="G199" s="118">
        <v>0.33</v>
      </c>
      <c r="H199" s="56">
        <f t="shared" si="33"/>
        <v>118.25199175050891</v>
      </c>
    </row>
    <row r="200" spans="1:10" ht="15" hidden="1" x14ac:dyDescent="0.2">
      <c r="A200" s="11">
        <f t="shared" si="34"/>
        <v>2021</v>
      </c>
      <c r="B200" t="s">
        <v>11</v>
      </c>
      <c r="C200" s="116">
        <f>141.6*1.0101</f>
        <v>143.03016</v>
      </c>
      <c r="D200" s="116">
        <v>86.3</v>
      </c>
      <c r="E200" s="172">
        <f>131/99.8*104.3</f>
        <v>136.90681362725451</v>
      </c>
      <c r="F200" s="155">
        <f>+F$173*(107.7/103.6)</f>
        <v>109.1838855416058</v>
      </c>
      <c r="G200" s="118">
        <v>0.44</v>
      </c>
      <c r="H200" s="56">
        <f t="shared" si="33"/>
        <v>118.37034688061253</v>
      </c>
    </row>
    <row r="201" spans="1:10" ht="15" hidden="1" x14ac:dyDescent="0.2">
      <c r="A201" s="13">
        <f t="shared" si="34"/>
        <v>2021</v>
      </c>
      <c r="B201" s="14" t="s">
        <v>12</v>
      </c>
      <c r="C201" s="119">
        <f>141.6*1.0101</f>
        <v>143.03016</v>
      </c>
      <c r="D201" s="119">
        <v>87.1</v>
      </c>
      <c r="E201" s="162">
        <f>131/99.8*104.7</f>
        <v>137.43186372745492</v>
      </c>
      <c r="F201" s="157">
        <f>+F$173*(108/103.6)</f>
        <v>109.48801892751557</v>
      </c>
      <c r="G201" s="120">
        <v>0.39</v>
      </c>
      <c r="H201" s="138">
        <f t="shared" si="33"/>
        <v>118.42717729480357</v>
      </c>
    </row>
    <row r="202" spans="1:10" ht="15" hidden="1" x14ac:dyDescent="0.2">
      <c r="A202" s="11">
        <f t="shared" si="34"/>
        <v>2021</v>
      </c>
      <c r="B202" t="s">
        <v>30</v>
      </c>
      <c r="C202" s="116">
        <f>142.6*1.0101</f>
        <v>144.04025999999999</v>
      </c>
      <c r="D202" s="116">
        <v>88.8</v>
      </c>
      <c r="E202" s="172">
        <f>131/99.8*104.9</f>
        <v>137.69438877755513</v>
      </c>
      <c r="F202" s="155">
        <f>+F$173*(108.2/103.6)</f>
        <v>109.69077451812207</v>
      </c>
      <c r="G202" s="118">
        <v>0.48</v>
      </c>
      <c r="H202" s="56">
        <f t="shared" si="33"/>
        <v>119.35625391911876</v>
      </c>
    </row>
    <row r="203" spans="1:10" ht="15" hidden="1" x14ac:dyDescent="0.2">
      <c r="A203" s="11">
        <f t="shared" si="34"/>
        <v>2021</v>
      </c>
      <c r="B203" t="s">
        <v>13</v>
      </c>
      <c r="C203" s="116">
        <f>142.6*1.0101</f>
        <v>144.04025999999999</v>
      </c>
      <c r="D203" s="116">
        <v>90.5</v>
      </c>
      <c r="E203" s="172">
        <f>131/99.8*105</f>
        <v>137.82565130260522</v>
      </c>
      <c r="F203" s="155">
        <f>+F$173*(108.4/103.6)</f>
        <v>109.8935301087286</v>
      </c>
      <c r="G203" s="118">
        <v>0.42</v>
      </c>
      <c r="H203" s="56">
        <f t="shared" si="33"/>
        <v>119.42250137044365</v>
      </c>
    </row>
    <row r="204" spans="1:10" ht="15" hidden="1" x14ac:dyDescent="0.2">
      <c r="A204" s="13">
        <f t="shared" si="34"/>
        <v>2021</v>
      </c>
      <c r="B204" s="14" t="s">
        <v>14</v>
      </c>
      <c r="C204" s="119">
        <f>142.6*1.0101</f>
        <v>144.04025999999999</v>
      </c>
      <c r="D204" s="119">
        <v>104.8</v>
      </c>
      <c r="E204" s="162">
        <f>131/99.8*105.7</f>
        <v>138.74448897795594</v>
      </c>
      <c r="F204" s="157">
        <f>+F$173*(108.5/103.6)</f>
        <v>109.99490790403185</v>
      </c>
      <c r="G204" s="120">
        <v>0.37</v>
      </c>
      <c r="H204" s="138">
        <f t="shared" si="33"/>
        <v>120.46739628902753</v>
      </c>
    </row>
    <row r="205" spans="1:10" ht="15" hidden="1" x14ac:dyDescent="0.2">
      <c r="A205" s="11">
        <f t="shared" si="34"/>
        <v>2021</v>
      </c>
      <c r="B205" t="s">
        <v>15</v>
      </c>
      <c r="C205" s="116">
        <f>144.1*1.0101</f>
        <v>145.55540999999999</v>
      </c>
      <c r="D205" s="116">
        <v>108.1</v>
      </c>
      <c r="E205" s="172">
        <f>131/99.8*105.5</f>
        <v>138.48196392785573</v>
      </c>
      <c r="F205" s="155">
        <f>+F$173*(108.7/103.6)</f>
        <v>110.19766349463836</v>
      </c>
      <c r="G205" s="118">
        <v>0.4</v>
      </c>
      <c r="H205" s="56">
        <f t="shared" si="33"/>
        <v>121.69968920210277</v>
      </c>
    </row>
    <row r="206" spans="1:10" ht="15" hidden="1" x14ac:dyDescent="0.2">
      <c r="A206" s="11">
        <f t="shared" si="34"/>
        <v>2021</v>
      </c>
      <c r="B206" t="s">
        <v>16</v>
      </c>
      <c r="C206" s="116">
        <f>144.1*1.0101</f>
        <v>145.55540999999999</v>
      </c>
      <c r="D206" s="116">
        <v>109</v>
      </c>
      <c r="E206" s="172">
        <f>131/99.8*105.8</f>
        <v>138.87575150300603</v>
      </c>
      <c r="F206" s="155">
        <f>+F$173*(109.3/103.6)</f>
        <v>110.80593026645788</v>
      </c>
      <c r="G206" s="118">
        <v>0.45</v>
      </c>
      <c r="H206" s="56">
        <f t="shared" si="33"/>
        <v>121.93160993544126</v>
      </c>
    </row>
    <row r="207" spans="1:10" ht="15.75" hidden="1" thickBot="1" x14ac:dyDescent="0.25">
      <c r="A207" s="31">
        <f t="shared" si="34"/>
        <v>2021</v>
      </c>
      <c r="B207" s="32" t="s">
        <v>17</v>
      </c>
      <c r="C207" s="121">
        <f>144.1*1.0101</f>
        <v>145.55540999999999</v>
      </c>
      <c r="D207" s="121">
        <v>133.4</v>
      </c>
      <c r="E207" s="173">
        <f>131/99.8*106.8</f>
        <v>140.18837675350701</v>
      </c>
      <c r="F207" s="156">
        <f>+F$173*(109.8/103.6)</f>
        <v>111.31281924297416</v>
      </c>
      <c r="G207" s="122">
        <v>0.49</v>
      </c>
      <c r="H207" s="103">
        <f t="shared" si="33"/>
        <v>123.91291135238586</v>
      </c>
      <c r="J207" s="32"/>
    </row>
    <row r="208" spans="1:10" ht="15" hidden="1" x14ac:dyDescent="0.2">
      <c r="A208" s="2">
        <v>2022</v>
      </c>
      <c r="B208" s="144" t="s">
        <v>7</v>
      </c>
      <c r="C208" s="116">
        <f>144.9*1.0101</f>
        <v>146.36349000000001</v>
      </c>
      <c r="D208" s="116">
        <v>133.4</v>
      </c>
      <c r="E208" s="172">
        <f>131/99.8*107.1</f>
        <v>140.58216432865731</v>
      </c>
      <c r="F208" s="155">
        <f>+F$173*(109.7/103.6)</f>
        <v>111.21144144767091</v>
      </c>
      <c r="G208" s="118">
        <v>0.42</v>
      </c>
      <c r="H208" s="56">
        <f t="shared" ref="H208" si="35">100+((C208-$C$40)/$C$40*100*$C$2)+((D208-$D$40)/$D$40*100*$D$2)+((E208-$E$40)/$E$40*100*$E$2)+((F208-$F$40)/$F$40*100*$F$2)+((G208-$G$40)/$G$40*100*$G$2)</f>
        <v>124.33641028647838</v>
      </c>
    </row>
    <row r="209" spans="1:9" ht="15" hidden="1" x14ac:dyDescent="0.2">
      <c r="A209" s="11">
        <f>A208</f>
        <v>2022</v>
      </c>
      <c r="B209" s="144" t="s">
        <v>8</v>
      </c>
      <c r="C209" s="116">
        <f>144.9*1.0101</f>
        <v>146.36349000000001</v>
      </c>
      <c r="D209" s="116">
        <v>137.6</v>
      </c>
      <c r="E209" s="172">
        <f>131/99.8*106.6</f>
        <v>139.92585170340681</v>
      </c>
      <c r="F209" s="155">
        <f>+F$173*(110.3/103.6)</f>
        <v>111.81970821949042</v>
      </c>
      <c r="G209" s="118">
        <v>0.54</v>
      </c>
      <c r="H209" s="56">
        <f>100+((C209-$C$40)/$C$40*100*$C$2)+((D209-$D$40)/$D$40*100*$D$2)+((E209-$E$40)/$E$40*100*$E$2)+((F209-$F$40)/$F$40*100*$F$2)+((G209-$G$40)/$G$40*100*$G$2)</f>
        <v>124.82836083183419</v>
      </c>
    </row>
    <row r="210" spans="1:9" ht="15" hidden="1" x14ac:dyDescent="0.2">
      <c r="A210" s="13">
        <f t="shared" ref="A210:A219" si="36">A209</f>
        <v>2022</v>
      </c>
      <c r="B210" s="14" t="s">
        <v>9</v>
      </c>
      <c r="C210" s="119">
        <f t="shared" ref="C210" si="37">144.9*1.0101</f>
        <v>146.36349000000001</v>
      </c>
      <c r="D210" s="119">
        <v>189.1</v>
      </c>
      <c r="E210" s="162">
        <f>131/99.8*108.1</f>
        <v>141.89478957915833</v>
      </c>
      <c r="F210" s="157">
        <f>+F$173*(113.2/103.6)</f>
        <v>114.75966428328483</v>
      </c>
      <c r="G210" s="120">
        <v>0.7</v>
      </c>
      <c r="H210" s="138">
        <f>100+((C210-$C$40)/$C$40*100*$C$2)+((D210-$D$40)/$D$40*100*$D$2)+((E210-$E$40)/$E$40*100*$E$2)+((F210-$F$40)/$F$40*100*$F$2)+((G210-$G$40)/$G$40*100*$G$2)</f>
        <v>129.25124557263371</v>
      </c>
    </row>
    <row r="211" spans="1:9" ht="15" hidden="1" x14ac:dyDescent="0.2">
      <c r="A211" s="18">
        <f t="shared" si="36"/>
        <v>2022</v>
      </c>
      <c r="B211" s="19" t="s">
        <v>10</v>
      </c>
      <c r="C211" s="116">
        <f>145.2*1.0101</f>
        <v>146.66651999999999</v>
      </c>
      <c r="D211" s="116">
        <v>165.6</v>
      </c>
      <c r="E211" s="172">
        <f>131/99.8*109.2</f>
        <v>143.33867735470943</v>
      </c>
      <c r="F211" s="155">
        <f>+F$173*(113.6/103.6)</f>
        <v>115.16517546449785</v>
      </c>
      <c r="G211" s="118">
        <v>1.04</v>
      </c>
      <c r="H211" s="56">
        <f>100+((C211-$C$40)/$C$40*100*$C$2)+((D211-$D$40)/$D$40*100*$D$2)+((E211-$E$40)/$E$40*100*$E$2)+((F211-$F$40)/$F$40*100*$F$2)+((G211-$G$40)/$G$40*100*$G$2)</f>
        <v>128.39131430364941</v>
      </c>
    </row>
    <row r="212" spans="1:9" ht="15" hidden="1" x14ac:dyDescent="0.2">
      <c r="A212" s="11">
        <f t="shared" si="36"/>
        <v>2022</v>
      </c>
      <c r="B212" t="s">
        <v>11</v>
      </c>
      <c r="C212" s="116">
        <f t="shared" ref="C212:C213" si="38">145.2*1.0101</f>
        <v>146.66651999999999</v>
      </c>
      <c r="D212" s="116">
        <v>163.9</v>
      </c>
      <c r="E212" s="172">
        <f>131/99.8*109.9</f>
        <v>144.25751503006015</v>
      </c>
      <c r="F212" s="155">
        <f>+F$173*(113.8/103.6)</f>
        <v>115.36793105510438</v>
      </c>
      <c r="G212" s="118">
        <v>1.24</v>
      </c>
      <c r="H212" s="56">
        <f>100+((C212-$C$40)/$C$40*100*$C$2)+((D212-$D$40)/$D$40*100*$D$2)+((E212-$E$40)/$E$40*100*$E$2)+((F212-$F$40)/$F$40*100*$F$2)+((G212-$G$40)/$G$40*100*$G$2)</f>
        <v>128.65410579829472</v>
      </c>
      <c r="I212" s="56"/>
    </row>
    <row r="213" spans="1:9" ht="15.75" hidden="1" thickBot="1" x14ac:dyDescent="0.25">
      <c r="A213" s="31">
        <f t="shared" si="36"/>
        <v>2022</v>
      </c>
      <c r="B213" s="32" t="s">
        <v>12</v>
      </c>
      <c r="C213" s="121">
        <f t="shared" si="38"/>
        <v>146.66651999999999</v>
      </c>
      <c r="D213" s="121">
        <v>210.2</v>
      </c>
      <c r="E213" s="173">
        <f>131/99.8*111.7</f>
        <v>146.62024048096194</v>
      </c>
      <c r="F213" s="156">
        <f>+F$173*(115.9/103.6)</f>
        <v>117.49686475647272</v>
      </c>
      <c r="G213" s="122">
        <v>1.58</v>
      </c>
      <c r="H213" s="103">
        <f t="shared" ref="H213" si="39">100+((C213-$C$40)/$C$40*100*$C$2)+((D213-$D$40)/$D$40*100*$D$2)+((E213-$E$40)/$E$40*100*$E$2)+((F213-$F$40)/$F$40*100*$F$2)+((G213-$G$40)/$G$40*100*$G$2)</f>
        <v>132.9114901892512</v>
      </c>
      <c r="I213" s="32"/>
    </row>
    <row r="214" spans="1:9" ht="15" hidden="1" x14ac:dyDescent="0.2">
      <c r="A214" s="11">
        <f t="shared" si="36"/>
        <v>2022</v>
      </c>
      <c r="B214" t="s">
        <v>30</v>
      </c>
      <c r="C214" s="116">
        <f>145.9*1.0101</f>
        <v>147.37359000000001</v>
      </c>
      <c r="D214" s="116">
        <v>196.7</v>
      </c>
      <c r="E214" s="172">
        <f>131/99.8*112.7</f>
        <v>147.93286573146295</v>
      </c>
      <c r="F214" s="155">
        <f>+F$173*(116.1/103.6)</f>
        <v>117.69962034707922</v>
      </c>
      <c r="G214" s="118">
        <v>1.84</v>
      </c>
      <c r="H214" s="56">
        <f t="shared" ref="H214" si="40">100+((C214-$C$40)/$C$40*100*$C$2)+((D214-$D$40)/$D$40*100*$D$2)+((E214-$E$40)/$E$40*100*$E$2)+((F214-$F$40)/$F$40*100*$F$2)+((G214-$G$40)/$G$40*100*$G$2)</f>
        <v>132.88067687739454</v>
      </c>
    </row>
    <row r="215" spans="1:9" ht="15" hidden="1" x14ac:dyDescent="0.2">
      <c r="A215" s="11">
        <f t="shared" si="36"/>
        <v>2022</v>
      </c>
      <c r="B215" s="144" t="s">
        <v>13</v>
      </c>
      <c r="C215" s="116">
        <f t="shared" ref="C215:C216" si="41">145.9*1.0101</f>
        <v>147.37359000000001</v>
      </c>
      <c r="D215" s="116">
        <v>199.2</v>
      </c>
      <c r="E215" s="172">
        <f>131/99.8*113.6</f>
        <v>149.11422845691382</v>
      </c>
      <c r="F215" s="155">
        <f>+F$173*(116.6/103.6)</f>
        <v>118.20650932359551</v>
      </c>
      <c r="G215" s="118">
        <v>2.0699999999999998</v>
      </c>
      <c r="H215" s="56">
        <f t="shared" ref="H215" si="42">100+((C215-$C$40)/$C$40*100*$C$2)+((D215-$D$40)/$D$40*100*$D$2)+((E215-$E$40)/$E$40*100*$E$2)+((F215-$F$40)/$F$40*100*$F$2)+((G215-$G$40)/$G$40*100*$G$2)</f>
        <v>133.54361951970196</v>
      </c>
    </row>
    <row r="216" spans="1:9" ht="15" hidden="1" x14ac:dyDescent="0.2">
      <c r="A216" s="13">
        <f t="shared" si="36"/>
        <v>2022</v>
      </c>
      <c r="B216" s="14" t="s">
        <v>14</v>
      </c>
      <c r="C216" s="119">
        <f t="shared" si="41"/>
        <v>147.37359000000001</v>
      </c>
      <c r="D216" s="119">
        <v>240</v>
      </c>
      <c r="E216" s="162">
        <f>131/99.8*114.9</f>
        <v>150.82064128256513</v>
      </c>
      <c r="F216" s="157">
        <f>+F$173*(117.7/103.6)</f>
        <v>119.32166507193132</v>
      </c>
      <c r="G216" s="120">
        <v>1.9</v>
      </c>
      <c r="H216" s="138">
        <f t="shared" ref="H216" si="43">100+((C216-$C$40)/$C$40*100*$C$2)+((D216-$D$40)/$D$40*100*$D$2)+((E216-$E$40)/$E$40*100*$E$2)+((F216-$F$40)/$F$40*100*$F$2)+((G216-$G$40)/$G$40*100*$G$2)</f>
        <v>136.49847871309871</v>
      </c>
    </row>
    <row r="217" spans="1:9" ht="15" hidden="1" x14ac:dyDescent="0.2">
      <c r="A217" s="18">
        <f t="shared" si="36"/>
        <v>2022</v>
      </c>
      <c r="B217" s="19" t="s">
        <v>15</v>
      </c>
      <c r="C217" s="116">
        <f>147.2*1.0101</f>
        <v>148.68671999999998</v>
      </c>
      <c r="D217" s="116">
        <v>235.8</v>
      </c>
      <c r="E217" s="172">
        <f>131/99.8*114.9</f>
        <v>150.82064128256513</v>
      </c>
      <c r="F217" s="155">
        <f>+F$173*(118.4/103.6)</f>
        <v>120.03130963905411</v>
      </c>
      <c r="G217" s="118">
        <v>2.52</v>
      </c>
      <c r="H217" s="56">
        <f t="shared" ref="H217" si="44">100+((C217-$C$40)/$C$40*100*$C$2)+((D217-$D$40)/$D$40*100*$D$2)+((E217-$E$40)/$E$40*100*$E$2)+((F217-$F$40)/$F$40*100*$F$2)+((G217-$G$40)/$G$40*100*$G$2)</f>
        <v>137.99928570555366</v>
      </c>
    </row>
    <row r="218" spans="1:9" ht="15" hidden="1" x14ac:dyDescent="0.2">
      <c r="A218" s="11">
        <f t="shared" si="36"/>
        <v>2022</v>
      </c>
      <c r="B218" t="s">
        <v>16</v>
      </c>
      <c r="C218" s="116">
        <f>147.2*1.0101</f>
        <v>148.68671999999998</v>
      </c>
      <c r="D218" s="116">
        <v>320.8</v>
      </c>
      <c r="E218" s="172">
        <f>131/99.8*116.4</f>
        <v>152.78957915831666</v>
      </c>
      <c r="F218" s="155">
        <f>+F$173*(118.5/103.6)</f>
        <v>120.13268743435736</v>
      </c>
      <c r="G218" s="118">
        <v>3.22</v>
      </c>
      <c r="H218" s="56">
        <f t="shared" ref="H218" si="45">100+((C218-$C$40)/$C$40*100*$C$2)+((D218-$D$40)/$D$40*100*$D$2)+((E218-$E$40)/$E$40*100*$E$2)+((F218-$F$40)/$F$40*100*$F$2)+((G218-$G$40)/$G$40*100*$G$2)</f>
        <v>145.3498239503939</v>
      </c>
    </row>
    <row r="219" spans="1:9" ht="15.75" hidden="1" thickBot="1" x14ac:dyDescent="0.25">
      <c r="A219" s="31">
        <f t="shared" si="36"/>
        <v>2022</v>
      </c>
      <c r="B219" s="32" t="s">
        <v>17</v>
      </c>
      <c r="C219" s="121">
        <f>147.2*1.0101</f>
        <v>148.68671999999998</v>
      </c>
      <c r="D219" s="121">
        <v>344.1</v>
      </c>
      <c r="E219" s="173">
        <f>131/99.8*117.6</f>
        <v>154.36472945891785</v>
      </c>
      <c r="F219" s="156">
        <f>+F$173*(120.6/103.6)</f>
        <v>122.2616211357257</v>
      </c>
      <c r="G219" s="122">
        <v>3.06</v>
      </c>
      <c r="H219" s="103">
        <f t="shared" ref="H219" si="46">100+((C219-$C$40)/$C$40*100*$C$2)+((D219-$D$40)/$D$40*100*$D$2)+((E219-$E$40)/$E$40*100*$E$2)+((F219-$F$40)/$F$40*100*$F$2)+((G219-$G$40)/$G$40*100*$G$2)</f>
        <v>147.14541956190735</v>
      </c>
    </row>
    <row r="220" spans="1:9" ht="15" x14ac:dyDescent="0.2">
      <c r="A220" s="2">
        <v>2023</v>
      </c>
      <c r="B220" t="s">
        <v>7</v>
      </c>
      <c r="C220" s="116">
        <f>148.2*1.0101</f>
        <v>149.69681999999997</v>
      </c>
      <c r="D220" s="116">
        <v>315.8</v>
      </c>
      <c r="E220" s="172">
        <f>131/99.8*116.6</f>
        <v>153.05210420841684</v>
      </c>
      <c r="F220" s="155">
        <f>+F$173*(120.9/103.6)</f>
        <v>122.56575452163548</v>
      </c>
      <c r="G220" s="118">
        <v>2.86</v>
      </c>
      <c r="H220" s="56">
        <f t="shared" ref="H220" si="47">100+((C220-$C$40)/$C$40*100*$C$2)+((D220-$D$40)/$D$40*100*$D$2)+((E220-$E$40)/$E$40*100*$E$2)+((F220-$F$40)/$F$40*100*$F$2)+((G220-$G$40)/$G$40*100*$G$2)</f>
        <v>145.36270819400974</v>
      </c>
    </row>
    <row r="221" spans="1:9" ht="15" x14ac:dyDescent="0.2">
      <c r="A221" s="11">
        <f>A220</f>
        <v>2023</v>
      </c>
      <c r="B221" s="144" t="s">
        <v>8</v>
      </c>
      <c r="C221" s="116">
        <f t="shared" ref="C221:C222" si="48">148.2*1.0101</f>
        <v>149.69681999999997</v>
      </c>
      <c r="D221" s="116">
        <v>282.60000000000002</v>
      </c>
      <c r="E221" s="172">
        <f>131/99.8*115.9</f>
        <v>152.13326653306615</v>
      </c>
      <c r="F221" s="155">
        <f>+F$173*(121/103.6)</f>
        <v>122.66713231693873</v>
      </c>
      <c r="G221" s="118">
        <v>3.33</v>
      </c>
      <c r="H221" s="56">
        <f t="shared" ref="H221" si="49">100+((C221-$C$40)/$C$40*100*$C$2)+((D221-$D$40)/$D$40*100*$D$2)+((E221-$E$40)/$E$40*100*$E$2)+((F221-$F$40)/$F$40*100*$F$2)+((G221-$G$40)/$G$40*100*$G$2)</f>
        <v>143.58548137058037</v>
      </c>
    </row>
    <row r="222" spans="1:9" ht="15" x14ac:dyDescent="0.2">
      <c r="A222" s="13">
        <f t="shared" ref="A222:A231" si="50">A221</f>
        <v>2023</v>
      </c>
      <c r="B222" s="14" t="s">
        <v>9</v>
      </c>
      <c r="C222" s="119">
        <f t="shared" si="48"/>
        <v>149.69681999999997</v>
      </c>
      <c r="D222" s="119">
        <v>310</v>
      </c>
      <c r="E222" s="162">
        <f>131/99.8*116.4</f>
        <v>152.78957915831666</v>
      </c>
      <c r="F222" s="157">
        <f>+F$173*(122.7/103.6)</f>
        <v>124.39055483709409</v>
      </c>
      <c r="G222" s="120">
        <v>3.26</v>
      </c>
      <c r="H222" s="138">
        <f t="shared" ref="H222" si="51">100+((C222-$C$40)/$C$40*100*$C$2)+((D222-$D$40)/$D$40*100*$D$2)+((E222-$E$40)/$E$40*100*$E$2)+((F222-$F$40)/$F$40*100*$F$2)+((G222-$G$40)/$G$40*100*$G$2)</f>
        <v>145.69689393955491</v>
      </c>
    </row>
    <row r="223" spans="1:9" ht="15" x14ac:dyDescent="0.2">
      <c r="A223" s="18">
        <f t="shared" si="50"/>
        <v>2023</v>
      </c>
      <c r="B223" s="19" t="s">
        <v>10</v>
      </c>
      <c r="C223" s="116">
        <f>149.4*1.0101</f>
        <v>150.90894</v>
      </c>
      <c r="D223" s="116">
        <v>300.89999999999998</v>
      </c>
      <c r="E223" s="172">
        <f>131/99.8*117.5</f>
        <v>154.23346693386776</v>
      </c>
      <c r="F223" s="155">
        <f>+F$173*(122.3/103.6)</f>
        <v>123.98504365588106</v>
      </c>
      <c r="G223" s="118">
        <v>3.58</v>
      </c>
      <c r="H223" s="56">
        <f t="shared" ref="H223" si="52">100+((C223-$C$40)/$C$40*100*$C$2)+((D223-$D$40)/$D$40*100*$D$2)+((E223-$E$40)/$E$40*100*$E$2)+((F223-$F$40)/$F$40*100*$F$2)+((G223-$G$40)/$G$40*100*$G$2)</f>
        <v>146.33679400577577</v>
      </c>
    </row>
    <row r="224" spans="1:9" ht="15" x14ac:dyDescent="0.2">
      <c r="A224" s="11">
        <f t="shared" si="50"/>
        <v>2023</v>
      </c>
      <c r="B224" t="s">
        <v>11</v>
      </c>
      <c r="C224" s="116">
        <f>149.4*1.0101</f>
        <v>150.90894</v>
      </c>
      <c r="D224" s="116">
        <v>294.2</v>
      </c>
      <c r="E224" s="172">
        <f>131/99.8*117.3</f>
        <v>153.97094188376755</v>
      </c>
      <c r="F224" s="155">
        <f>+F$173*(122.9/103.6)</f>
        <v>124.59331042770057</v>
      </c>
      <c r="G224" s="118">
        <v>3.32</v>
      </c>
      <c r="H224" s="56">
        <f t="shared" ref="H224:H229" si="53">100+((C224-$C$40)/$C$40*100*$C$2)+((D224-$D$40)/$D$40*100*$D$2)+((E224-$E$40)/$E$40*100*$E$2)+((F224-$F$40)/$F$40*100*$F$2)+((G224-$G$40)/$G$40*100*$G$2)</f>
        <v>145.51192223316914</v>
      </c>
    </row>
    <row r="225" spans="1:12" ht="15.75" thickBot="1" x14ac:dyDescent="0.25">
      <c r="A225" s="31">
        <f t="shared" si="50"/>
        <v>2023</v>
      </c>
      <c r="B225" s="32" t="s">
        <v>12</v>
      </c>
      <c r="C225" s="121">
        <f>149.4*1.0101</f>
        <v>150.90894</v>
      </c>
      <c r="D225" s="121">
        <v>276.8</v>
      </c>
      <c r="E225" s="173">
        <f>131/99.8*117.6</f>
        <v>154.36472945891785</v>
      </c>
      <c r="F225" s="156">
        <f>+F$173*(123/103.6)</f>
        <v>124.69468822300382</v>
      </c>
      <c r="G225" s="122">
        <v>3.35</v>
      </c>
      <c r="H225" s="103">
        <f t="shared" si="53"/>
        <v>144.33620312694404</v>
      </c>
    </row>
    <row r="226" spans="1:12" ht="15" x14ac:dyDescent="0.2">
      <c r="A226" s="18">
        <f t="shared" si="50"/>
        <v>2023</v>
      </c>
      <c r="B226" s="23" t="s">
        <v>30</v>
      </c>
      <c r="C226" s="116">
        <f>150.8*1.0101</f>
        <v>152.32308</v>
      </c>
      <c r="D226" s="116">
        <v>162.9</v>
      </c>
      <c r="E226" s="172">
        <f>131/99.8*116</f>
        <v>152.26452905811624</v>
      </c>
      <c r="F226" s="155">
        <f>+F$173*(122.7/103.6)</f>
        <v>124.39055483709409</v>
      </c>
      <c r="G226" s="118">
        <v>3.45</v>
      </c>
      <c r="H226" s="56">
        <f t="shared" si="53"/>
        <v>136.9198220098022</v>
      </c>
    </row>
    <row r="227" spans="1:12" ht="15" x14ac:dyDescent="0.2">
      <c r="A227" s="11">
        <f t="shared" si="50"/>
        <v>2023</v>
      </c>
      <c r="B227" t="s">
        <v>13</v>
      </c>
      <c r="C227" s="116">
        <f t="shared" ref="C227:C228" si="54">150.8*1.0101</f>
        <v>152.32308</v>
      </c>
      <c r="D227" s="116">
        <v>161.19999999999999</v>
      </c>
      <c r="E227" s="172">
        <f>131/99.8*116.4</f>
        <v>152.78957915831666</v>
      </c>
      <c r="F227" s="155">
        <f>+F$173*(123.3/103.6)</f>
        <v>124.9988216089136</v>
      </c>
      <c r="G227" s="118">
        <v>3.69</v>
      </c>
      <c r="H227" s="56">
        <f t="shared" si="53"/>
        <v>137.25239119055155</v>
      </c>
    </row>
    <row r="228" spans="1:12" ht="15" x14ac:dyDescent="0.2">
      <c r="A228" s="13">
        <f t="shared" si="50"/>
        <v>2023</v>
      </c>
      <c r="B228" s="14" t="s">
        <v>14</v>
      </c>
      <c r="C228" s="119">
        <f t="shared" si="54"/>
        <v>152.32308</v>
      </c>
      <c r="D228" s="119">
        <v>144.5</v>
      </c>
      <c r="E228" s="162">
        <f>131/99.8*118.5</f>
        <v>155.54609218436875</v>
      </c>
      <c r="F228" s="157">
        <f>+F$173*(124.6/103.6)</f>
        <v>126.31673294785591</v>
      </c>
      <c r="G228" s="120">
        <v>3.67</v>
      </c>
      <c r="H228" s="138">
        <f t="shared" si="53"/>
        <v>136.36341660437478</v>
      </c>
    </row>
    <row r="229" spans="1:12" ht="15" x14ac:dyDescent="0.2">
      <c r="A229" s="18">
        <f t="shared" si="50"/>
        <v>2023</v>
      </c>
      <c r="B229" s="19" t="s">
        <v>15</v>
      </c>
      <c r="C229" s="116">
        <f>151.6*1.0101</f>
        <v>153.13115999999999</v>
      </c>
      <c r="D229" s="116">
        <v>134.5</v>
      </c>
      <c r="E229" s="172">
        <f>131/99.8*117.7</f>
        <v>154.49599198396794</v>
      </c>
      <c r="F229" s="155">
        <f>+F$173*(124.3/103.6)</f>
        <v>126.01259956194616</v>
      </c>
      <c r="G229" s="118">
        <v>3.67</v>
      </c>
      <c r="H229" s="56">
        <f t="shared" si="53"/>
        <v>136.03161137713897</v>
      </c>
    </row>
    <row r="230" spans="1:12" ht="15" x14ac:dyDescent="0.2">
      <c r="A230" s="11">
        <f t="shared" si="50"/>
        <v>2023</v>
      </c>
      <c r="B230" t="s">
        <v>16</v>
      </c>
      <c r="C230" s="116">
        <f t="shared" ref="C230:C231" si="55">151.6*1.0101</f>
        <v>153.13115999999999</v>
      </c>
      <c r="D230" s="116">
        <v>137</v>
      </c>
      <c r="E230" s="172">
        <f>131/99.8*117.4</f>
        <v>154.10220440881764</v>
      </c>
      <c r="F230" s="155">
        <f>+F$173*(124/103.6)</f>
        <v>125.70846617603638</v>
      </c>
      <c r="G230" s="118">
        <v>3.81</v>
      </c>
      <c r="H230" s="56">
        <f t="shared" ref="H230" si="56">100+((C230-$C$40)/$C$40*100*$C$2)+((D230-$D$40)/$D$40*100*$D$2)+((E230-$E$40)/$E$40*100*$E$2)+((F230-$F$40)/$F$40*100*$F$2)+((G230-$G$40)/$G$40*100*$G$2)</f>
        <v>136.3562151181338</v>
      </c>
    </row>
    <row r="231" spans="1:12" ht="15.75" thickBot="1" x14ac:dyDescent="0.25">
      <c r="A231" s="31">
        <f t="shared" si="50"/>
        <v>2023</v>
      </c>
      <c r="B231" s="32" t="s">
        <v>17</v>
      </c>
      <c r="C231" s="121">
        <f t="shared" si="55"/>
        <v>153.13115999999999</v>
      </c>
      <c r="D231" s="121">
        <v>143.69999999999999</v>
      </c>
      <c r="E231" s="173">
        <f>131/99.8*117.7</f>
        <v>154.49599198396794</v>
      </c>
      <c r="F231" s="156">
        <f>+F$173*(123.9/103.6)</f>
        <v>125.60708838073315</v>
      </c>
      <c r="G231" s="122">
        <v>3.78</v>
      </c>
      <c r="H231" s="103">
        <f t="shared" ref="H231" si="57">100+((C231-$C$40)/$C$40*100*$C$2)+((D231-$D$40)/$D$40*100*$D$2)+((E231-$E$40)/$E$40*100*$E$2)+((F231-$F$40)/$F$40*100*$F$2)+((G231-$G$40)/$G$40*100*$G$2)</f>
        <v>136.81794139774954</v>
      </c>
    </row>
    <row r="232" spans="1:12" ht="15" x14ac:dyDescent="0.2">
      <c r="A232" s="2">
        <v>2024</v>
      </c>
      <c r="B232" s="144" t="s">
        <v>7</v>
      </c>
      <c r="C232" s="116">
        <f>153.5*1.0101</f>
        <v>155.05035000000001</v>
      </c>
      <c r="D232" s="116">
        <v>147.80000000000001</v>
      </c>
      <c r="E232" s="172">
        <f>131/99.8*117.3</f>
        <v>153.97094188376755</v>
      </c>
      <c r="F232" s="155">
        <f>+F$173*(123.5/103.6)</f>
        <v>125.20157719952012</v>
      </c>
      <c r="G232" s="118">
        <v>3.51</v>
      </c>
      <c r="H232" s="56">
        <f t="shared" ref="H232" si="58">100+((C232-$C$40)/$C$40*100*$C$2)+((D232-$D$40)/$D$40*100*$D$2)+((E232-$E$40)/$E$40*100*$E$2)+((F232-$F$40)/$F$40*100*$F$2)+((G232-$G$40)/$G$40*100*$G$2)</f>
        <v>137.83784397696468</v>
      </c>
      <c r="L232" s="190"/>
    </row>
    <row r="233" spans="1:12" ht="15" x14ac:dyDescent="0.2">
      <c r="A233" s="11">
        <f>A232</f>
        <v>2024</v>
      </c>
      <c r="B233" s="144" t="s">
        <v>8</v>
      </c>
      <c r="C233" s="116">
        <f t="shared" ref="C233:C234" si="59">153.5*1.0101</f>
        <v>155.05035000000001</v>
      </c>
      <c r="D233" s="116">
        <v>150.30000000000001</v>
      </c>
      <c r="E233" s="172">
        <f>131/99.8*116.7</f>
        <v>153.18336673346695</v>
      </c>
      <c r="F233" s="155">
        <f>+F$173*(123.3/103.6)</f>
        <v>124.9988216089136</v>
      </c>
      <c r="G233" s="118">
        <v>3.18</v>
      </c>
      <c r="H233" s="56">
        <f t="shared" ref="H233" si="60">100+((C233-$C$40)/$C$40*100*$C$2)+((D233-$D$40)/$D$40*100*$D$2)+((E233-$E$40)/$E$40*100*$E$2)+((F233-$F$40)/$F$40*100*$F$2)+((G233-$G$40)/$G$40*100*$G$2)</f>
        <v>137.45247606417558</v>
      </c>
      <c r="L233" s="190"/>
    </row>
    <row r="234" spans="1:12" ht="15" x14ac:dyDescent="0.2">
      <c r="A234" s="13">
        <f t="shared" ref="A234:A243" si="61">A233</f>
        <v>2024</v>
      </c>
      <c r="B234" s="14" t="s">
        <v>9</v>
      </c>
      <c r="C234" s="119">
        <f t="shared" si="59"/>
        <v>155.05035000000001</v>
      </c>
      <c r="D234" s="119">
        <v>166.1</v>
      </c>
      <c r="E234" s="162">
        <f>131/99.8*117.8</f>
        <v>154.62725450901803</v>
      </c>
      <c r="F234" s="157">
        <f>+F$173*(122.3/103.6)</f>
        <v>123.98504365588106</v>
      </c>
      <c r="G234" s="120">
        <v>3.23</v>
      </c>
      <c r="H234" s="138">
        <f t="shared" ref="H234" si="62">100+((C234-$C$40)/$C$40*100*$C$2)+((D234-$D$40)/$D$40*100*$D$2)+((E234-$E$40)/$E$40*100*$E$2)+((F234-$F$40)/$F$40*100*$F$2)+((G234-$G$40)/$G$40*100*$G$2)</f>
        <v>138.67888404177918</v>
      </c>
      <c r="L234" s="190"/>
    </row>
    <row r="235" spans="1:12" ht="15" x14ac:dyDescent="0.2">
      <c r="A235" s="18">
        <f t="shared" si="61"/>
        <v>2024</v>
      </c>
      <c r="B235" s="19" t="s">
        <v>10</v>
      </c>
      <c r="C235" s="116">
        <f>154.8*1.0101</f>
        <v>156.36348000000001</v>
      </c>
      <c r="D235" s="116">
        <v>162</v>
      </c>
      <c r="E235" s="172">
        <f>131/99.8*118.4</f>
        <v>155.41482965931866</v>
      </c>
      <c r="F235" s="155">
        <f>+F$173*(122.6/103.6)</f>
        <v>124.28917704179081</v>
      </c>
      <c r="G235" s="118">
        <v>3.38</v>
      </c>
      <c r="H235" s="56">
        <f t="shared" ref="H235" si="63">100+((C235-$C$40)/$C$40*100*$C$2)+((D235-$D$40)/$D$40*100*$D$2)+((E235-$E$40)/$E$40*100*$E$2)+((F235-$F$40)/$F$40*100*$F$2)+((G235-$G$40)/$G$40*100*$G$2)</f>
        <v>139.51681721738856</v>
      </c>
      <c r="L235" s="190"/>
    </row>
    <row r="236" spans="1:12" ht="15" x14ac:dyDescent="0.2">
      <c r="A236" s="11">
        <f t="shared" si="61"/>
        <v>2024</v>
      </c>
      <c r="B236" t="s">
        <v>11</v>
      </c>
      <c r="C236" s="116">
        <f t="shared" ref="C236:C237" si="64">154.8*1.0101</f>
        <v>156.36348000000001</v>
      </c>
      <c r="D236" s="116">
        <v>161.1</v>
      </c>
      <c r="E236" s="172">
        <f>131/99.8*118.4</f>
        <v>155.41482965931866</v>
      </c>
      <c r="F236" s="155">
        <f>+F$173*(122.2/103.6)</f>
        <v>123.88366586057781</v>
      </c>
      <c r="G236" s="118">
        <v>3.39</v>
      </c>
      <c r="H236" s="56">
        <f t="shared" ref="H236" si="65">100+((C236-$C$40)/$C$40*100*$C$2)+((D236-$D$40)/$D$40*100*$D$2)+((E236-$E$40)/$E$40*100*$E$2)+((F236-$F$40)/$F$40*100*$F$2)+((G236-$G$40)/$G$40*100*$G$2)</f>
        <v>139.42451265591913</v>
      </c>
      <c r="L236" s="190"/>
    </row>
    <row r="237" spans="1:12" ht="15" x14ac:dyDescent="0.2">
      <c r="A237" s="13">
        <f t="shared" si="61"/>
        <v>2024</v>
      </c>
      <c r="B237" s="14" t="s">
        <v>12</v>
      </c>
      <c r="C237" s="119">
        <f t="shared" si="64"/>
        <v>156.36348000000001</v>
      </c>
      <c r="D237" s="119">
        <v>127.9</v>
      </c>
      <c r="E237" s="162">
        <f>131/99.8*118.5</f>
        <v>155.54609218436875</v>
      </c>
      <c r="F237" s="157">
        <f>+F$173*(122.7/103.6)</f>
        <v>124.39055483709409</v>
      </c>
      <c r="G237" s="120">
        <v>3.43</v>
      </c>
      <c r="H237" s="138">
        <f t="shared" ref="H237" si="66">100+((C237-$C$40)/$C$40*100*$C$2)+((D237-$D$40)/$D$40*100*$D$2)+((E237-$E$40)/$E$40*100*$E$2)+((F237-$F$40)/$F$40*100*$F$2)+((G237-$G$40)/$G$40*100*$G$2)</f>
        <v>137.13984679103868</v>
      </c>
    </row>
    <row r="238" spans="1:12" ht="15" x14ac:dyDescent="0.2">
      <c r="A238" s="18">
        <f t="shared" si="61"/>
        <v>2024</v>
      </c>
      <c r="B238" s="23" t="s">
        <v>30</v>
      </c>
      <c r="C238" s="116">
        <f>156.1*1.0101</f>
        <v>157.67660999999998</v>
      </c>
      <c r="D238" s="116">
        <v>127.9</v>
      </c>
      <c r="E238" s="172">
        <f>131/99.8*118.5</f>
        <v>155.54609218436875</v>
      </c>
      <c r="F238" s="155">
        <f>+F$173*(123.2/103.6)</f>
        <v>124.89744381361035</v>
      </c>
      <c r="G238" s="118">
        <v>3.49</v>
      </c>
      <c r="H238" s="56">
        <f t="shared" ref="H238" si="67">100+((C238-$C$40)/$C$40*100*$C$2)+((D238-$D$40)/$D$40*100*$D$2)+((E238-$E$40)/$E$40*100*$E$2)+((F238-$F$40)/$F$40*100*$F$2)+((G238-$G$40)/$G$40*100*$G$2)</f>
        <v>138.10231756328213</v>
      </c>
    </row>
    <row r="239" spans="1:12" ht="15" x14ac:dyDescent="0.2">
      <c r="A239" s="11">
        <f t="shared" si="61"/>
        <v>2024</v>
      </c>
      <c r="B239" t="s">
        <v>13</v>
      </c>
      <c r="C239" s="116">
        <f>156.1*1.0101</f>
        <v>157.67660999999998</v>
      </c>
      <c r="D239" s="116">
        <v>129.6</v>
      </c>
      <c r="E239" s="172">
        <f>131/99.8*118.5</f>
        <v>155.54609218436875</v>
      </c>
      <c r="F239" s="155">
        <f>+F$173*(123.2/103.6)</f>
        <v>124.89744381361035</v>
      </c>
      <c r="G239" s="118">
        <v>3.4</v>
      </c>
      <c r="H239" s="56">
        <f t="shared" ref="H239" si="68">100+((C239-$C$40)/$C$40*100*$C$2)+((D239-$D$40)/$D$40*100*$D$2)+((E239-$E$40)/$E$40*100*$E$2)+((F239-$F$40)/$F$40*100*$F$2)+((G239-$G$40)/$G$40*100*$G$2)</f>
        <v>138.09343049738109</v>
      </c>
    </row>
    <row r="240" spans="1:12" ht="15" x14ac:dyDescent="0.2">
      <c r="A240" s="13">
        <f t="shared" si="61"/>
        <v>2024</v>
      </c>
      <c r="B240" s="14" t="s">
        <v>14</v>
      </c>
      <c r="C240" s="119">
        <f t="shared" ref="C240" si="69">156.1*1.0101</f>
        <v>157.67660999999998</v>
      </c>
      <c r="D240" s="119">
        <v>130.4</v>
      </c>
      <c r="E240" s="162">
        <f>131/99.8*119.8</f>
        <v>157.25250501002006</v>
      </c>
      <c r="F240" s="157">
        <f>+F$173*(123.4/103.6)</f>
        <v>125.10019940421687</v>
      </c>
      <c r="G240" s="120">
        <v>3.12</v>
      </c>
      <c r="H240" s="138">
        <f t="shared" ref="H240" si="70">100+((C240-$C$40)/$C$40*100*$C$2)+((D240-$D$40)/$D$40*100*$D$2)+((E240-$E$40)/$E$40*100*$E$2)+((F240-$F$40)/$F$40*100*$F$2)+((G240-$G$40)/$G$40*100*$G$2)</f>
        <v>137.89434838882426</v>
      </c>
    </row>
    <row r="241" spans="1:10" ht="15" x14ac:dyDescent="0.2">
      <c r="A241" s="11">
        <f t="shared" si="61"/>
        <v>2024</v>
      </c>
      <c r="B241" t="s">
        <v>15</v>
      </c>
      <c r="C241" s="116">
        <f>158.9*1.0101</f>
        <v>160.50489000000002</v>
      </c>
      <c r="D241" s="116">
        <v>153.4</v>
      </c>
      <c r="E241" s="172">
        <f>131/99.8*119.3</f>
        <v>156.59619238476955</v>
      </c>
      <c r="F241" s="155">
        <f>+F$173*(123.6/103.6)</f>
        <v>125.30295499482337</v>
      </c>
      <c r="G241" s="118">
        <v>3.05</v>
      </c>
      <c r="H241" s="56">
        <f t="shared" ref="H241" si="71">100+((C241-$C$40)/$C$40*100*$C$2)+((D241-$D$40)/$D$40*100*$D$2)+((E241-$E$40)/$E$40*100*$E$2)+((F241-$F$40)/$F$40*100*$F$2)+((G241-$G$40)/$G$40*100*$G$2)</f>
        <v>141.19895994311696</v>
      </c>
    </row>
    <row r="242" spans="1:10" ht="15" x14ac:dyDescent="0.2">
      <c r="A242" s="11">
        <f t="shared" si="61"/>
        <v>2024</v>
      </c>
      <c r="B242" t="s">
        <v>16</v>
      </c>
      <c r="C242" s="116">
        <f t="shared" ref="C242:C243" si="72">158.9*1.0101</f>
        <v>160.50489000000002</v>
      </c>
      <c r="D242" s="116">
        <v>136.4</v>
      </c>
      <c r="E242" s="172">
        <f>131/99.8*118.9</f>
        <v>156.07114228456916</v>
      </c>
      <c r="F242" s="155">
        <f>+F$173*(123.5/103.6)</f>
        <v>125.20157719952012</v>
      </c>
      <c r="G242" s="118">
        <v>2.82</v>
      </c>
      <c r="H242" s="56">
        <f t="shared" ref="H242" si="73">100+((C242-$C$40)/$C$40*100*$C$2)+((D242-$D$40)/$D$40*100*$D$2)+((E242-$E$40)/$E$40*100*$E$2)+((F242-$F$40)/$F$40*100*$F$2)+((G242-$G$40)/$G$40*100*$G$2)</f>
        <v>139.57819612923041</v>
      </c>
    </row>
    <row r="243" spans="1:10" ht="15.75" thickBot="1" x14ac:dyDescent="0.25">
      <c r="A243" s="31">
        <f t="shared" si="61"/>
        <v>2024</v>
      </c>
      <c r="B243" s="32" t="s">
        <v>17</v>
      </c>
      <c r="C243" s="121">
        <f t="shared" si="72"/>
        <v>160.50489000000002</v>
      </c>
      <c r="D243" s="121">
        <v>162.80000000000001</v>
      </c>
      <c r="E243" s="173">
        <f>131/99.8*119.6</f>
        <v>156.98997995991985</v>
      </c>
      <c r="F243" s="156">
        <f>+F$173*(122.9/103.6)</f>
        <v>124.59331042770057</v>
      </c>
      <c r="G243" s="122">
        <v>2.9</v>
      </c>
      <c r="H243" s="103">
        <f t="shared" ref="H243" si="74">100+((C243-$C$40)/$C$40*100*$C$2)+((D243-$D$40)/$D$40*100*$D$2)+((E243-$E$40)/$E$40*100*$E$2)+((F243-$F$40)/$F$40*100*$F$2)+((G243-$G$40)/$G$40*100*$G$2)</f>
        <v>141.61759443385091</v>
      </c>
    </row>
    <row r="244" spans="1:10" ht="15" x14ac:dyDescent="0.2">
      <c r="A244" s="2">
        <v>2025</v>
      </c>
      <c r="B244" s="144" t="s">
        <v>7</v>
      </c>
      <c r="C244" s="116">
        <f>(159.5*1.0101)</f>
        <v>161.11095</v>
      </c>
      <c r="D244" s="116">
        <v>172.2</v>
      </c>
      <c r="E244" s="172">
        <f>131/99.8*119.2</f>
        <v>156.46492985971946</v>
      </c>
      <c r="F244" s="155">
        <f>+F$173*(123.2/103.6)</f>
        <v>124.89744381361035</v>
      </c>
      <c r="G244" s="118">
        <v>2.67</v>
      </c>
      <c r="H244" s="56">
        <f t="shared" ref="H244" si="75">100+((C244-$C$40)/$C$40*100*$C$2)+((D244-$D$40)/$D$40*100*$D$2)+((E244-$E$40)/$E$40*100*$E$2)+((F244-$F$40)/$F$40*100*$F$2)+((G244-$G$40)/$G$40*100*$G$2)</f>
        <v>142.33112140367413</v>
      </c>
      <c r="J244" s="144" t="s">
        <v>82</v>
      </c>
    </row>
    <row r="245" spans="1:10" ht="15" x14ac:dyDescent="0.2">
      <c r="A245" s="11">
        <v>2024</v>
      </c>
      <c r="B245" s="144" t="s">
        <v>8</v>
      </c>
      <c r="C245" s="116">
        <f t="shared" ref="C245" si="76">(159.5*1.0101)</f>
        <v>161.11095</v>
      </c>
      <c r="D245" s="116">
        <v>163.69999999999999</v>
      </c>
      <c r="E245" s="172">
        <f>131/99.8*118.9</f>
        <v>156.07114228456916</v>
      </c>
      <c r="F245" s="155">
        <f>+F$173*(123.5/103.6)/113.8*113.8</f>
        <v>125.20157719952012</v>
      </c>
      <c r="G245" s="118">
        <v>2.82</v>
      </c>
      <c r="H245" s="56">
        <f t="shared" ref="H245" si="77">100+((C245-$C$40)/$C$40*100*$C$2)+((D245-$D$40)/$D$40*100*$D$2)+((E245-$E$40)/$E$40*100*$E$2)+((F245-$F$40)/$F$40*100*$F$2)+((G245-$G$40)/$G$40*100*$G$2)</f>
        <v>141.93594208166854</v>
      </c>
    </row>
    <row r="246" spans="1:10" ht="15" x14ac:dyDescent="0.2">
      <c r="A246" s="13">
        <v>2024</v>
      </c>
      <c r="B246" s="175" t="s">
        <v>9</v>
      </c>
      <c r="C246" s="204">
        <f>(159.5*1.0101)/124.7*124.7</f>
        <v>161.11095</v>
      </c>
      <c r="D246" s="119">
        <v>167.2</v>
      </c>
      <c r="E246" s="162">
        <f>131/99.8*119.6</f>
        <v>156.98997995991985</v>
      </c>
      <c r="F246" s="157">
        <f>+F$173*(123.5/103.6)/113.8*113.1</f>
        <v>124.43144447509424</v>
      </c>
      <c r="G246" s="120">
        <v>2.73</v>
      </c>
      <c r="H246" s="138">
        <f t="shared" ref="H246" si="78">100+((C246-$C$40)/$C$40*100*$C$2)+((D246-$D$40)/$D$40*100*$D$2)+((E246-$E$40)/$E$40*100*$E$2)+((F246-$F$40)/$F$40*100*$F$2)+((G246-$G$40)/$G$40*100*$G$2)</f>
        <v>142.04977417943354</v>
      </c>
      <c r="J246" s="144" t="s">
        <v>87</v>
      </c>
    </row>
    <row r="247" spans="1:10" ht="15" x14ac:dyDescent="0.2">
      <c r="A247" s="18">
        <v>2024</v>
      </c>
      <c r="B247" s="185" t="s">
        <v>10</v>
      </c>
      <c r="C247" s="205">
        <f>(159.5*1.0101)/124.7*125.8</f>
        <v>162.53213720930231</v>
      </c>
      <c r="D247" s="206">
        <v>182.6</v>
      </c>
      <c r="E247" s="207">
        <f>131/99.8*120.8</f>
        <v>158.56513026052104</v>
      </c>
      <c r="F247" s="208">
        <f>+F$173*(123.5/103.6)/113.8*112.9</f>
        <v>124.21140655382972</v>
      </c>
      <c r="G247" s="209">
        <v>2.69</v>
      </c>
      <c r="H247" s="210">
        <f t="shared" ref="H247" si="79">100+((C247-$C$40)/$C$40*100*$C$2)+((D247-$D$40)/$D$40*100*$D$2)+((E247-$E$40)/$E$40*100*$E$2)+((F247-$F$40)/$F$40*100*$F$2)+((G247-$G$40)/$G$40*100*$G$2)</f>
        <v>144.09697183388525</v>
      </c>
    </row>
    <row r="248" spans="1:10" ht="15" x14ac:dyDescent="0.2">
      <c r="A248" s="11">
        <v>2024</v>
      </c>
      <c r="B248" s="144" t="s">
        <v>11</v>
      </c>
      <c r="C248" s="205">
        <f t="shared" ref="C248:C250" si="80">(159.5*1.0101)/124.7*125.8</f>
        <v>162.53213720930231</v>
      </c>
      <c r="D248" s="116">
        <v>154.4</v>
      </c>
      <c r="E248" s="172">
        <f>131/99.8*120.2</f>
        <v>157.77755511022045</v>
      </c>
      <c r="F248" s="155">
        <f>+F$173*(123.5/103.6)/113.8*112.8</f>
        <v>124.10138759319744</v>
      </c>
      <c r="G248" s="118">
        <v>2.75</v>
      </c>
      <c r="H248" s="56">
        <f t="shared" ref="H248" si="81">100+((C248-$C$40)/$C$40*100*$C$2)+((D248-$D$40)/$D$40*100*$D$2)+((E248-$E$40)/$E$40*100*$E$2)+((F248-$F$40)/$F$40*100*$F$2)+((G248-$G$40)/$G$40*100*$G$2)</f>
        <v>142.06884391526717</v>
      </c>
    </row>
    <row r="249" spans="1:10" ht="15" x14ac:dyDescent="0.2">
      <c r="A249" s="13">
        <v>2024</v>
      </c>
      <c r="B249" s="175" t="s">
        <v>12</v>
      </c>
      <c r="C249" s="204">
        <f t="shared" si="80"/>
        <v>162.53213720930231</v>
      </c>
      <c r="D249" s="119">
        <v>124.5</v>
      </c>
      <c r="E249" s="162">
        <f>131/99.8*120.3</f>
        <v>157.90881763527054</v>
      </c>
      <c r="F249" s="157">
        <f>+F$173*(123.5/103.6)/113.8*114.6</f>
        <v>126.08172888457825</v>
      </c>
      <c r="G249" s="120">
        <v>2.61</v>
      </c>
      <c r="H249" s="138">
        <f t="shared" ref="H249" si="82">100+((C249-$C$40)/$C$40*100*$C$2)+((D249-$D$40)/$D$40*100*$D$2)+((E249-$E$40)/$E$40*100*$E$2)+((F249-$F$40)/$F$40*100*$F$2)+((G249-$G$40)/$G$40*100*$G$2)</f>
        <v>139.91090340324214</v>
      </c>
    </row>
    <row r="250" spans="1:10" ht="15" x14ac:dyDescent="0.2">
      <c r="A250" s="18">
        <v>2024</v>
      </c>
      <c r="B250" s="185" t="s">
        <v>30</v>
      </c>
      <c r="C250" s="205">
        <f>(159.5*1.0101)/124.7*126.3</f>
        <v>163.17813139534883</v>
      </c>
      <c r="D250" s="206">
        <v>123.7</v>
      </c>
      <c r="E250" s="207">
        <f>131/99.8*120.4</f>
        <v>158.04008016032066</v>
      </c>
      <c r="F250" s="208">
        <f>+F$173*(123.5/103.6)/113.8*114.9</f>
        <v>126.41178576647506</v>
      </c>
      <c r="G250" s="209">
        <v>2.67</v>
      </c>
      <c r="H250" s="210">
        <f t="shared" ref="H250" si="83">100+((C250-$C$40)/$C$40*100*$C$2)+((D250-$D$40)/$D$40*100*$D$2)+((E250-$E$40)/$E$40*100*$E$2)+((F250-$F$40)/$F$40*100*$F$2)+((G250-$G$40)/$G$40*100*$G$2)</f>
        <v>140.38969230578314</v>
      </c>
    </row>
    <row r="251" spans="1:10" ht="15" x14ac:dyDescent="0.2">
      <c r="A251" s="11">
        <v>2024</v>
      </c>
      <c r="B251" s="144" t="s">
        <v>13</v>
      </c>
      <c r="C251" s="205">
        <f t="shared" ref="C251:C252" si="84">(159.5*1.0101)/124.7*126.3</f>
        <v>163.17813139534883</v>
      </c>
      <c r="D251" s="130">
        <f t="shared" ref="D250:D267" si="85">D250</f>
        <v>123.7</v>
      </c>
      <c r="E251" s="130">
        <f t="shared" ref="E250:E255" si="86">E250*(1+(((SUM(E$232:E$243)-SUM(E$220:E$231))/SUM(E$220:E$231))/12))</f>
        <v>158.19662045324338</v>
      </c>
      <c r="F251" s="130">
        <f t="shared" ref="F250:F255" si="87">F250*(1+(((SUM(F$232:F$243)-SUM(F$220:F$231))/SUM(F$220:F$231))/12))</f>
        <v>126.41749697031381</v>
      </c>
      <c r="G251" s="72">
        <f t="shared" ref="G250:G267" si="88">+G250</f>
        <v>2.67</v>
      </c>
      <c r="H251" s="179">
        <f t="shared" ref="H250:H254" si="89">100+((C251-$C$40)/$C$40*100*$C$2)+((D251-$D$40)/$D$40*100*$D$2)+((E251-$E$40)/$E$40*100*$E$2)+((F251-$F$40)/$F$40*100*$F$2)+((G251-$G$40)/$G$40*100*$G$2)</f>
        <v>140.40247842821853</v>
      </c>
    </row>
    <row r="252" spans="1:10" ht="15" x14ac:dyDescent="0.2">
      <c r="A252" s="13">
        <v>2024</v>
      </c>
      <c r="B252" s="175" t="s">
        <v>14</v>
      </c>
      <c r="C252" s="204">
        <f t="shared" si="84"/>
        <v>163.17813139534883</v>
      </c>
      <c r="D252" s="131">
        <f t="shared" si="85"/>
        <v>123.7</v>
      </c>
      <c r="E252" s="131">
        <f t="shared" si="86"/>
        <v>158.35331580090465</v>
      </c>
      <c r="F252" s="131">
        <f t="shared" si="87"/>
        <v>126.4232084321811</v>
      </c>
      <c r="G252" s="73">
        <f t="shared" si="88"/>
        <v>2.67</v>
      </c>
      <c r="H252" s="180">
        <f t="shared" si="89"/>
        <v>140.41527665941481</v>
      </c>
    </row>
    <row r="253" spans="1:10" ht="15" x14ac:dyDescent="0.2">
      <c r="A253" s="11">
        <v>2024</v>
      </c>
      <c r="B253" s="144" t="s">
        <v>15</v>
      </c>
      <c r="C253" s="130">
        <f t="shared" ref="C250:C255" si="90">C250*(1+(((SUM(C$232:C$243)-SUM(C$220:C$231))/SUM(C$220:C$231))/4))</f>
        <v>164.76231908764532</v>
      </c>
      <c r="D253" s="130">
        <f t="shared" si="85"/>
        <v>123.7</v>
      </c>
      <c r="E253" s="130">
        <f t="shared" si="86"/>
        <v>158.51016635688774</v>
      </c>
      <c r="F253" s="130">
        <f>F252*(1+(((SUM(F$232:F$243)-SUM(F$220:F$231))/SUM(F$220:F$231))/12))</f>
        <v>126.42892015208859</v>
      </c>
      <c r="G253" s="72">
        <f t="shared" si="88"/>
        <v>2.67</v>
      </c>
      <c r="H253" s="179">
        <f t="shared" si="89"/>
        <v>141.42002773948221</v>
      </c>
    </row>
    <row r="254" spans="1:10" ht="15" x14ac:dyDescent="0.2">
      <c r="A254" s="11">
        <v>2024</v>
      </c>
      <c r="B254" s="144" t="s">
        <v>16</v>
      </c>
      <c r="C254" s="130">
        <f t="shared" si="90"/>
        <v>164.76231908764532</v>
      </c>
      <c r="D254" s="130">
        <f t="shared" si="85"/>
        <v>123.7</v>
      </c>
      <c r="E254" s="130">
        <f t="shared" si="86"/>
        <v>158.66717227492808</v>
      </c>
      <c r="F254" s="130">
        <f t="shared" si="87"/>
        <v>126.43463213004794</v>
      </c>
      <c r="G254" s="72">
        <f t="shared" si="88"/>
        <v>2.67</v>
      </c>
      <c r="H254" s="179">
        <f t="shared" si="89"/>
        <v>141.43285022411834</v>
      </c>
    </row>
    <row r="255" spans="1:10" ht="15.75" thickBot="1" x14ac:dyDescent="0.25">
      <c r="A255" s="31">
        <v>2024</v>
      </c>
      <c r="B255" s="186" t="s">
        <v>17</v>
      </c>
      <c r="C255" s="182">
        <f t="shared" si="90"/>
        <v>164.76231908764532</v>
      </c>
      <c r="D255" s="182">
        <f t="shared" si="85"/>
        <v>123.7</v>
      </c>
      <c r="E255" s="182">
        <f t="shared" si="86"/>
        <v>158.82433370891331</v>
      </c>
      <c r="F255" s="182">
        <f t="shared" si="87"/>
        <v>126.44034436607082</v>
      </c>
      <c r="G255" s="183">
        <f t="shared" si="88"/>
        <v>2.67</v>
      </c>
      <c r="H255" s="184">
        <f>100+((C255-$C$40)/$C$40*100*$C$2)+((D255-$D$40)/$D$40*100*$D$2)+((E255-$E$40)/$E$40*100*$E$2)+((F255-$F$40)/$F$40*100*$F$2)+((G255-$G$40)/$G$40*100*$G$2)</f>
        <v>141.44568485345712</v>
      </c>
    </row>
    <row r="256" spans="1:10" ht="15" x14ac:dyDescent="0.2">
      <c r="A256" s="2">
        <v>2026</v>
      </c>
      <c r="B256" s="144" t="s">
        <v>7</v>
      </c>
      <c r="C256" s="130">
        <f>C253*(1+(((SUM(C$244:C$255)-SUM(C$232:C$243))/SUM(C$232:C$243))/4))</f>
        <v>166.20087331420046</v>
      </c>
      <c r="D256" s="130">
        <f t="shared" si="85"/>
        <v>123.7</v>
      </c>
      <c r="E256" s="130">
        <f>E255*(1+(((SUM(E$244:E$255)-SUM(E$232:E$243))/SUM(E$232:E$243))/12))</f>
        <v>159.02440695264232</v>
      </c>
      <c r="F256" s="130">
        <f>F255*(1+(((SUM(F$244:F$255)-SUM(F$232:F$243))/SUM(F$232:F$243))/12))</f>
        <v>126.51594856452611</v>
      </c>
      <c r="G256" s="72">
        <f>+G255</f>
        <v>2.67</v>
      </c>
      <c r="H256" s="191">
        <f>100+((C256-$C$40)/$C$40*100*$C$2)+((D256-$D$40)/$D$40*100*$D$2)+((E256-$E$40)/$E$40*100*$E$2)+((F256-$F$40)/$F$40*100*$F$2)+((G256-$G$40)/$G$40*100*$G$2)</f>
        <v>142.36981338263399</v>
      </c>
    </row>
    <row r="257" spans="1:13" ht="15" x14ac:dyDescent="0.2">
      <c r="A257" s="11">
        <v>2024</v>
      </c>
      <c r="B257" s="144" t="s">
        <v>8</v>
      </c>
      <c r="C257" s="130">
        <f t="shared" ref="C257:C267" si="91">C254*(1+(((SUM(C$244:C$255)-SUM(C$232:C$243))/SUM(C$232:C$243))/4))</f>
        <v>166.20087331420046</v>
      </c>
      <c r="D257" s="130">
        <f t="shared" si="85"/>
        <v>123.7</v>
      </c>
      <c r="E257" s="130">
        <f t="shared" ref="E257:E267" si="92">E256*(1+(((SUM(E$244:E$255)-SUM(E$232:E$243))/SUM(E$232:E$243))/12))</f>
        <v>159.22473223144632</v>
      </c>
      <c r="F257" s="130">
        <f t="shared" ref="F257:F267" si="93">F256*(1+(((SUM(F$244:F$255)-SUM(F$232:F$243))/SUM(F$232:F$243))/12))</f>
        <v>126.59159797003026</v>
      </c>
      <c r="G257" s="72">
        <f t="shared" si="88"/>
        <v>2.67</v>
      </c>
      <c r="H257" s="191">
        <f t="shared" ref="H257:H266" si="94">100+((C257-$C$40)/$C$40*100*$C$2)+((D257-$D$40)/$D$40*100*$D$2)+((E257-$E$40)/$E$40*100*$E$2)+((F257-$F$40)/$F$40*100*$F$2)+((G257-$G$40)/$G$40*100*$G$2)</f>
        <v>142.39321402057178</v>
      </c>
    </row>
    <row r="258" spans="1:13" ht="15" x14ac:dyDescent="0.2">
      <c r="A258" s="13">
        <v>2024</v>
      </c>
      <c r="B258" s="175" t="s">
        <v>9</v>
      </c>
      <c r="C258" s="131">
        <f t="shared" si="91"/>
        <v>166.20087331420046</v>
      </c>
      <c r="D258" s="131">
        <f t="shared" si="85"/>
        <v>123.7</v>
      </c>
      <c r="E258" s="131">
        <f t="shared" si="92"/>
        <v>159.42530986281744</v>
      </c>
      <c r="F258" s="131">
        <f t="shared" si="93"/>
        <v>126.66729260961452</v>
      </c>
      <c r="G258" s="73">
        <f t="shared" si="88"/>
        <v>2.67</v>
      </c>
      <c r="H258" s="192">
        <f t="shared" si="94"/>
        <v>142.41663898085059</v>
      </c>
    </row>
    <row r="259" spans="1:13" ht="15" x14ac:dyDescent="0.2">
      <c r="A259" s="18">
        <v>2024</v>
      </c>
      <c r="B259" s="185" t="s">
        <v>10</v>
      </c>
      <c r="C259" s="130">
        <f t="shared" si="91"/>
        <v>167.65198768359772</v>
      </c>
      <c r="D259" s="132">
        <f t="shared" si="85"/>
        <v>123.7</v>
      </c>
      <c r="E259" s="130">
        <f t="shared" si="92"/>
        <v>159.62614016464775</v>
      </c>
      <c r="F259" s="130">
        <f t="shared" si="93"/>
        <v>126.74303251032633</v>
      </c>
      <c r="G259" s="129">
        <f t="shared" si="88"/>
        <v>2.67</v>
      </c>
      <c r="H259" s="191">
        <f t="shared" si="94"/>
        <v>143.34870502324611</v>
      </c>
    </row>
    <row r="260" spans="1:13" ht="15" x14ac:dyDescent="0.2">
      <c r="A260" s="11">
        <v>2024</v>
      </c>
      <c r="B260" s="144" t="s">
        <v>11</v>
      </c>
      <c r="C260" s="130">
        <f t="shared" si="91"/>
        <v>167.65198768359772</v>
      </c>
      <c r="D260" s="130">
        <f t="shared" si="85"/>
        <v>123.7</v>
      </c>
      <c r="E260" s="130">
        <f t="shared" si="92"/>
        <v>159.82722345522976</v>
      </c>
      <c r="F260" s="130">
        <f t="shared" si="93"/>
        <v>126.81881769922929</v>
      </c>
      <c r="G260" s="72">
        <f t="shared" si="88"/>
        <v>2.67</v>
      </c>
      <c r="H260" s="191">
        <f t="shared" si="94"/>
        <v>143.37217871090888</v>
      </c>
    </row>
    <row r="261" spans="1:13" ht="15" x14ac:dyDescent="0.2">
      <c r="A261" s="13">
        <v>2024</v>
      </c>
      <c r="B261" s="175" t="s">
        <v>12</v>
      </c>
      <c r="C261" s="131">
        <f t="shared" si="91"/>
        <v>167.65198768359772</v>
      </c>
      <c r="D261" s="131">
        <f t="shared" si="85"/>
        <v>123.7</v>
      </c>
      <c r="E261" s="131">
        <f t="shared" si="92"/>
        <v>160.02856005325697</v>
      </c>
      <c r="F261" s="131">
        <f t="shared" si="93"/>
        <v>126.89464820340318</v>
      </c>
      <c r="G261" s="73">
        <f t="shared" si="88"/>
        <v>2.67</v>
      </c>
      <c r="H261" s="192">
        <f t="shared" si="94"/>
        <v>143.39567680368037</v>
      </c>
    </row>
    <row r="262" spans="1:13" ht="15" x14ac:dyDescent="0.2">
      <c r="A262" s="18">
        <v>2024</v>
      </c>
      <c r="B262" s="185" t="s">
        <v>30</v>
      </c>
      <c r="C262" s="130">
        <f t="shared" si="91"/>
        <v>169.11577185954343</v>
      </c>
      <c r="D262" s="130">
        <f t="shared" si="85"/>
        <v>123.7</v>
      </c>
      <c r="E262" s="130">
        <f t="shared" si="92"/>
        <v>160.23015027782432</v>
      </c>
      <c r="F262" s="130">
        <f t="shared" si="93"/>
        <v>126.97052404994398</v>
      </c>
      <c r="G262" s="72">
        <f t="shared" si="88"/>
        <v>2.67</v>
      </c>
      <c r="H262" s="191">
        <f t="shared" si="94"/>
        <v>144.3357492736383</v>
      </c>
    </row>
    <row r="263" spans="1:13" ht="15" x14ac:dyDescent="0.2">
      <c r="A263" s="11">
        <v>2024</v>
      </c>
      <c r="B263" s="144" t="s">
        <v>13</v>
      </c>
      <c r="C263" s="130">
        <f t="shared" si="91"/>
        <v>169.11577185954343</v>
      </c>
      <c r="D263" s="130">
        <f t="shared" si="85"/>
        <v>123.7</v>
      </c>
      <c r="E263" s="130">
        <f t="shared" si="92"/>
        <v>160.43199444842872</v>
      </c>
      <c r="F263" s="130">
        <f t="shared" si="93"/>
        <v>127.04644526596387</v>
      </c>
      <c r="G263" s="72">
        <f t="shared" si="88"/>
        <v>2.67</v>
      </c>
      <c r="H263" s="191">
        <f t="shared" si="94"/>
        <v>144.35929625962538</v>
      </c>
    </row>
    <row r="264" spans="1:13" ht="15" x14ac:dyDescent="0.2">
      <c r="A264" s="13">
        <v>2024</v>
      </c>
      <c r="B264" s="175" t="s">
        <v>14</v>
      </c>
      <c r="C264" s="131">
        <f t="shared" si="91"/>
        <v>169.11577185954343</v>
      </c>
      <c r="D264" s="131">
        <f t="shared" si="85"/>
        <v>123.7</v>
      </c>
      <c r="E264" s="131">
        <f t="shared" si="92"/>
        <v>160.63409288496956</v>
      </c>
      <c r="F264" s="131">
        <f t="shared" si="93"/>
        <v>127.12241187859124</v>
      </c>
      <c r="G264" s="73">
        <f t="shared" si="88"/>
        <v>2.67</v>
      </c>
      <c r="H264" s="192">
        <f t="shared" si="94"/>
        <v>144.38286773378536</v>
      </c>
    </row>
    <row r="265" spans="1:13" ht="15" x14ac:dyDescent="0.2">
      <c r="A265" s="11">
        <v>2024</v>
      </c>
      <c r="B265" s="144" t="s">
        <v>15</v>
      </c>
      <c r="C265" s="130">
        <f t="shared" si="91"/>
        <v>170.5923364632273</v>
      </c>
      <c r="D265" s="130">
        <f t="shared" si="85"/>
        <v>123.7</v>
      </c>
      <c r="E265" s="130">
        <f t="shared" si="92"/>
        <v>160.83644590774921</v>
      </c>
      <c r="F265" s="130">
        <f t="shared" si="93"/>
        <v>127.1984239149707</v>
      </c>
      <c r="G265" s="72">
        <f t="shared" si="88"/>
        <v>2.67</v>
      </c>
      <c r="H265" s="191">
        <f t="shared" si="94"/>
        <v>145.33101614606852</v>
      </c>
    </row>
    <row r="266" spans="1:13" ht="15" x14ac:dyDescent="0.2">
      <c r="A266" s="11">
        <v>2024</v>
      </c>
      <c r="B266" s="144" t="s">
        <v>16</v>
      </c>
      <c r="C266" s="130">
        <f t="shared" si="91"/>
        <v>170.5923364632273</v>
      </c>
      <c r="D266" s="130">
        <f t="shared" si="85"/>
        <v>123.7</v>
      </c>
      <c r="E266" s="130">
        <f t="shared" si="92"/>
        <v>161.03905383747355</v>
      </c>
      <c r="F266" s="130">
        <f t="shared" si="93"/>
        <v>127.27448140226311</v>
      </c>
      <c r="G266" s="72">
        <f t="shared" si="88"/>
        <v>2.67</v>
      </c>
      <c r="H266" s="191">
        <f t="shared" si="94"/>
        <v>145.35463667986986</v>
      </c>
    </row>
    <row r="267" spans="1:13" ht="15" x14ac:dyDescent="0.2">
      <c r="A267" s="11">
        <v>2024</v>
      </c>
      <c r="B267" s="144" t="s">
        <v>17</v>
      </c>
      <c r="C267" s="130">
        <f t="shared" si="91"/>
        <v>170.5923364632273</v>
      </c>
      <c r="D267" s="130">
        <f t="shared" si="85"/>
        <v>123.7</v>
      </c>
      <c r="E267" s="130">
        <f t="shared" si="92"/>
        <v>161.24191699525241</v>
      </c>
      <c r="F267" s="130">
        <f t="shared" si="93"/>
        <v>127.35058436764552</v>
      </c>
      <c r="G267" s="72">
        <f t="shared" si="88"/>
        <v>2.67</v>
      </c>
      <c r="H267" s="191">
        <f>100+((C267-$C$40)/$C$40*100*$C$2)+((D267-$D$40)/$D$40*100*$D$2)+((E267-$E$40)/$E$40*100*$E$2)+((F267-$F$40)/$F$40*100*$F$2)+((G267-$G$40)/$G$40*100*$G$2)</f>
        <v>145.37828178520596</v>
      </c>
    </row>
    <row r="268" spans="1:13" x14ac:dyDescent="0.2">
      <c r="A268" s="167" t="s">
        <v>42</v>
      </c>
      <c r="B268" s="167"/>
      <c r="C268" s="167"/>
      <c r="D268" s="167"/>
      <c r="E268" s="167"/>
      <c r="F268" s="167"/>
      <c r="G268" s="167"/>
      <c r="H268" s="168"/>
      <c r="I268" s="167"/>
      <c r="J268" s="167"/>
      <c r="M268" s="144"/>
    </row>
    <row r="269" spans="1:13" x14ac:dyDescent="0.2">
      <c r="A269" s="167" t="s">
        <v>43</v>
      </c>
      <c r="B269" s="167"/>
      <c r="C269" s="167"/>
      <c r="D269" s="167"/>
      <c r="E269" s="167"/>
      <c r="F269" s="167"/>
      <c r="G269" s="167"/>
      <c r="H269" s="168"/>
      <c r="I269" s="167"/>
      <c r="J269" s="167"/>
    </row>
    <row r="270" spans="1:13" x14ac:dyDescent="0.2">
      <c r="A270" s="167" t="s">
        <v>45</v>
      </c>
      <c r="B270" s="167"/>
      <c r="C270" s="167"/>
      <c r="D270" s="167"/>
      <c r="E270" s="167"/>
      <c r="F270" s="167"/>
      <c r="G270" s="167"/>
      <c r="H270" s="168"/>
      <c r="I270" s="167"/>
      <c r="J270" s="167"/>
    </row>
    <row r="271" spans="1:13" x14ac:dyDescent="0.2">
      <c r="A271" s="169" t="s">
        <v>76</v>
      </c>
      <c r="B271" s="169" t="s">
        <v>67</v>
      </c>
      <c r="C271" s="169"/>
      <c r="D271" s="169"/>
      <c r="E271" s="169"/>
      <c r="F271" s="169"/>
      <c r="G271" s="169"/>
      <c r="H271" s="170"/>
      <c r="I271" s="169"/>
      <c r="J271" s="169"/>
    </row>
    <row r="272" spans="1:13" x14ac:dyDescent="0.2">
      <c r="A272" s="169" t="s">
        <v>77</v>
      </c>
      <c r="B272" s="169" t="s">
        <v>78</v>
      </c>
      <c r="C272" s="169"/>
      <c r="D272" s="169"/>
      <c r="E272" s="169"/>
      <c r="F272" s="169"/>
      <c r="G272" s="169"/>
      <c r="H272" s="170"/>
      <c r="I272" s="169"/>
      <c r="J272" s="169"/>
    </row>
    <row r="273" spans="1:11" x14ac:dyDescent="0.2">
      <c r="A273" s="169" t="s">
        <v>83</v>
      </c>
      <c r="B273" s="169" t="s">
        <v>84</v>
      </c>
      <c r="C273" s="169"/>
      <c r="D273" s="169"/>
      <c r="E273" s="169"/>
      <c r="F273" s="169"/>
      <c r="G273" s="169"/>
      <c r="H273" s="170"/>
      <c r="I273" s="169"/>
      <c r="J273" s="169"/>
    </row>
    <row r="274" spans="1:11" ht="40.5" customHeight="1" x14ac:dyDescent="0.2">
      <c r="A274" s="164" t="s">
        <v>70</v>
      </c>
      <c r="B274" s="165" t="s">
        <v>72</v>
      </c>
      <c r="C274" s="165"/>
      <c r="D274" s="165"/>
      <c r="E274" s="165"/>
      <c r="F274" s="165"/>
      <c r="G274" s="165"/>
      <c r="H274" s="165"/>
      <c r="I274" s="165"/>
      <c r="J274" s="165"/>
      <c r="K274" s="166"/>
    </row>
    <row r="275" spans="1:11" ht="63" customHeight="1" x14ac:dyDescent="0.2">
      <c r="A275" s="201" t="s">
        <v>81</v>
      </c>
      <c r="B275" s="211" t="s">
        <v>85</v>
      </c>
      <c r="C275" s="211"/>
      <c r="D275" s="211"/>
      <c r="E275" s="211"/>
      <c r="F275" s="211"/>
      <c r="G275" s="211"/>
      <c r="H275" s="211"/>
      <c r="I275" s="211"/>
      <c r="J275" s="211"/>
    </row>
    <row r="276" spans="1:11" x14ac:dyDescent="0.2">
      <c r="A276" s="202" t="s">
        <v>88</v>
      </c>
      <c r="B276" s="202" t="s">
        <v>89</v>
      </c>
      <c r="C276" s="202"/>
      <c r="D276" s="202"/>
      <c r="E276" s="202"/>
      <c r="F276" s="202"/>
      <c r="G276" s="202"/>
      <c r="H276" s="202"/>
      <c r="I276" s="202"/>
      <c r="J276" s="202"/>
    </row>
  </sheetData>
  <mergeCells count="1">
    <mergeCell ref="B275:J275"/>
  </mergeCells>
  <phoneticPr fontId="5" type="noConversion"/>
  <pageMargins left="0.74803149606299213" right="0.74803149606299213" top="0.78740157480314965" bottom="0.39370078740157483" header="0" footer="0"/>
  <pageSetup paperSize="9" scale="87" fitToHeight="0" orientation="portrait" r:id="rId1"/>
  <headerFooter alignWithMargins="0">
    <oddHeader>&amp;L&amp;G&amp;R&amp;14
&amp;"Arial,Fed"El-omkostningsindeks</oddHeader>
    <oddFooter>&amp;L&amp;D&amp;RKontaktinformation: FynBus (HNB/JNB)</oddFooter>
  </headerFooter>
  <rowBreaks count="1" manualBreakCount="1">
    <brk id="243" max="9" man="1"/>
  </rowBreaks>
  <ignoredErrors>
    <ignoredError sqref="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topLeftCell="A235" workbookViewId="0">
      <selection activeCell="E250" sqref="E250"/>
    </sheetView>
  </sheetViews>
  <sheetFormatPr defaultRowHeight="12.75" x14ac:dyDescent="0.2"/>
  <cols>
    <col min="2" max="2" width="9.5703125" customWidth="1"/>
    <col min="5" max="5" width="10.140625" customWidth="1"/>
    <col min="6" max="6" width="11.140625" customWidth="1"/>
    <col min="7" max="7" width="11.85546875" bestFit="1" customWidth="1"/>
  </cols>
  <sheetData>
    <row r="1" spans="1:8" ht="18" x14ac:dyDescent="0.25">
      <c r="A1" s="1" t="s">
        <v>21</v>
      </c>
      <c r="C1" s="2"/>
      <c r="G1" s="74" t="s">
        <v>31</v>
      </c>
    </row>
    <row r="2" spans="1:8" x14ac:dyDescent="0.2">
      <c r="C2" s="3"/>
      <c r="D2" s="3"/>
      <c r="E2" s="3"/>
      <c r="F2" s="3"/>
      <c r="G2" s="3"/>
    </row>
    <row r="3" spans="1:8" ht="13.5" thickBot="1" x14ac:dyDescent="0.25">
      <c r="A3" s="2" t="s">
        <v>1</v>
      </c>
      <c r="B3" s="2" t="s">
        <v>2</v>
      </c>
      <c r="C3" s="140" t="s">
        <v>86</v>
      </c>
      <c r="D3" s="2" t="s">
        <v>73</v>
      </c>
      <c r="E3" s="2" t="s">
        <v>4</v>
      </c>
      <c r="F3" s="2" t="s">
        <v>5</v>
      </c>
      <c r="G3" s="2" t="s">
        <v>6</v>
      </c>
      <c r="H3" s="2" t="s">
        <v>20</v>
      </c>
    </row>
    <row r="4" spans="1:8" hidden="1" x14ac:dyDescent="0.2">
      <c r="A4" s="2">
        <v>2005</v>
      </c>
      <c r="B4" t="s">
        <v>7</v>
      </c>
      <c r="C4" s="96" t="s">
        <v>18</v>
      </c>
      <c r="D4" s="97" t="s">
        <v>18</v>
      </c>
      <c r="E4" s="97" t="s">
        <v>18</v>
      </c>
      <c r="F4" s="97" t="s">
        <v>18</v>
      </c>
      <c r="G4" s="97" t="s">
        <v>18</v>
      </c>
      <c r="H4" s="97" t="s">
        <v>18</v>
      </c>
    </row>
    <row r="5" spans="1:8" hidden="1" x14ac:dyDescent="0.2">
      <c r="A5" s="11">
        <v>2005</v>
      </c>
      <c r="B5" t="s">
        <v>8</v>
      </c>
      <c r="C5" s="97" t="s">
        <v>18</v>
      </c>
      <c r="D5" s="97" t="s">
        <v>18</v>
      </c>
      <c r="E5" s="97" t="s">
        <v>18</v>
      </c>
      <c r="F5" s="97" t="s">
        <v>18</v>
      </c>
      <c r="G5" s="97" t="s">
        <v>18</v>
      </c>
      <c r="H5" s="97" t="s">
        <v>18</v>
      </c>
    </row>
    <row r="6" spans="1:8" hidden="1" x14ac:dyDescent="0.2">
      <c r="A6" s="13">
        <v>2005</v>
      </c>
      <c r="B6" s="14" t="s">
        <v>9</v>
      </c>
      <c r="C6" s="98" t="s">
        <v>18</v>
      </c>
      <c r="D6" s="98" t="s">
        <v>18</v>
      </c>
      <c r="E6" s="98" t="s">
        <v>18</v>
      </c>
      <c r="F6" s="98" t="s">
        <v>18</v>
      </c>
      <c r="G6" s="98" t="s">
        <v>18</v>
      </c>
      <c r="H6" s="98" t="s">
        <v>18</v>
      </c>
    </row>
    <row r="7" spans="1:8" hidden="1" x14ac:dyDescent="0.2">
      <c r="A7" s="18">
        <v>2005</v>
      </c>
      <c r="B7" s="19" t="s">
        <v>10</v>
      </c>
      <c r="C7" s="99" t="s">
        <v>18</v>
      </c>
      <c r="D7" s="99" t="s">
        <v>18</v>
      </c>
      <c r="E7" s="99" t="s">
        <v>18</v>
      </c>
      <c r="F7" s="99" t="s">
        <v>18</v>
      </c>
      <c r="G7" s="99" t="s">
        <v>18</v>
      </c>
      <c r="H7" s="99" t="s">
        <v>18</v>
      </c>
    </row>
    <row r="8" spans="1:8" hidden="1" x14ac:dyDescent="0.2">
      <c r="A8" s="11">
        <v>2005</v>
      </c>
      <c r="B8" t="s">
        <v>11</v>
      </c>
      <c r="C8" s="97" t="s">
        <v>18</v>
      </c>
      <c r="D8" s="97" t="s">
        <v>18</v>
      </c>
      <c r="E8" s="97" t="s">
        <v>18</v>
      </c>
      <c r="F8" s="97" t="s">
        <v>18</v>
      </c>
      <c r="G8" s="97" t="s">
        <v>18</v>
      </c>
      <c r="H8" s="97" t="s">
        <v>18</v>
      </c>
    </row>
    <row r="9" spans="1:8" hidden="1" x14ac:dyDescent="0.2">
      <c r="A9" s="13">
        <v>2005</v>
      </c>
      <c r="B9" s="14" t="s">
        <v>12</v>
      </c>
      <c r="C9" s="98" t="s">
        <v>18</v>
      </c>
      <c r="D9" s="98" t="s">
        <v>18</v>
      </c>
      <c r="E9" s="98" t="s">
        <v>18</v>
      </c>
      <c r="F9" s="98" t="s">
        <v>18</v>
      </c>
      <c r="G9" s="98" t="s">
        <v>18</v>
      </c>
      <c r="H9" s="98" t="s">
        <v>18</v>
      </c>
    </row>
    <row r="10" spans="1:8" hidden="1" x14ac:dyDescent="0.2">
      <c r="A10" s="18">
        <v>2005</v>
      </c>
      <c r="B10" s="23" t="s">
        <v>30</v>
      </c>
      <c r="C10" s="64">
        <f>(Indeks!C10/Indeks!$C$40*Indeks!$C$2)/Indeks!H10*100</f>
        <v>0.65995667797436408</v>
      </c>
      <c r="D10" s="64">
        <f>(Indeks!D10/Indeks!$D$40*Indeks!$D$2)/Indeks!H10*100</f>
        <v>8.9589119035019912E-2</v>
      </c>
      <c r="E10" s="64">
        <f>(Indeks!E10/Indeks!$E$40*Indeks!$E$2)/Indeks!H10*100</f>
        <v>9.0588355962377645E-2</v>
      </c>
      <c r="F10" s="64">
        <f>(Indeks!F10/Indeks!$F$40*Indeks!$F$2)/Indeks!H10*100</f>
        <v>0.10789554046260351</v>
      </c>
      <c r="G10" s="64">
        <f>(Indeks!G10/Indeks!$G$40*Indeks!$G$2)/Indeks!H10*100</f>
        <v>5.1970306565634942E-2</v>
      </c>
      <c r="H10" s="64">
        <f t="shared" ref="H10:H39" si="0">SUM(C10:G10)</f>
        <v>1</v>
      </c>
    </row>
    <row r="11" spans="1:8" hidden="1" x14ac:dyDescent="0.2">
      <c r="A11" s="11">
        <v>2005</v>
      </c>
      <c r="B11" t="s">
        <v>13</v>
      </c>
      <c r="C11" s="62">
        <f>(Indeks!C11/Indeks!$C$40*Indeks!$C$2)/Indeks!H11*100</f>
        <v>0.65741554694659365</v>
      </c>
      <c r="D11" s="62">
        <f>(Indeks!D11/Indeks!$D$40*Indeks!$D$2)/Indeks!H11*100</f>
        <v>9.350475128051329E-2</v>
      </c>
      <c r="E11" s="62">
        <f>(Indeks!E11/Indeks!$E$40*Indeks!$E$2)/Indeks!H11*100</f>
        <v>9.0321362740833078E-2</v>
      </c>
      <c r="F11" s="62">
        <f>(Indeks!F11/Indeks!$F$40*Indeks!$F$2)/Indeks!H11*100</f>
        <v>0.10791260941055804</v>
      </c>
      <c r="G11" s="62">
        <f>(Indeks!G11/Indeks!$G$40*Indeks!$G$2)/Indeks!H11*100</f>
        <v>5.0845729621502085E-2</v>
      </c>
      <c r="H11" s="62">
        <f t="shared" si="0"/>
        <v>1.0000000000000002</v>
      </c>
    </row>
    <row r="12" spans="1:8" hidden="1" x14ac:dyDescent="0.2">
      <c r="A12" s="13">
        <v>2005</v>
      </c>
      <c r="B12" s="14" t="s">
        <v>14</v>
      </c>
      <c r="C12" s="63">
        <f>(Indeks!C12/Indeks!$C$40*Indeks!$C$2)/Indeks!H12*100</f>
        <v>0.65538403467354911</v>
      </c>
      <c r="D12" s="63">
        <f>(Indeks!D12/Indeks!$D$40*Indeks!$D$2)/Indeks!H12*100</f>
        <v>9.6325529443995347E-2</v>
      </c>
      <c r="E12" s="63">
        <f>(Indeks!E12/Indeks!$E$40*Indeks!$E$2)/Indeks!H12*100</f>
        <v>8.9960696219173575E-2</v>
      </c>
      <c r="F12" s="63">
        <f>(Indeks!F12/Indeks!$F$40*Indeks!$F$2)/Indeks!H12*100</f>
        <v>0.10779473278843435</v>
      </c>
      <c r="G12" s="63">
        <f>(Indeks!G12/Indeks!$G$40*Indeks!$G$2)/Indeks!H12*100</f>
        <v>5.0535006874847618E-2</v>
      </c>
      <c r="H12" s="63">
        <f t="shared" si="0"/>
        <v>0.99999999999999989</v>
      </c>
    </row>
    <row r="13" spans="1:8" hidden="1" x14ac:dyDescent="0.2">
      <c r="A13" s="11">
        <v>2005</v>
      </c>
      <c r="B13" t="s">
        <v>15</v>
      </c>
      <c r="C13" s="64">
        <f>(Indeks!C13/Indeks!$C$40*Indeks!$C$2)/Indeks!H13*100</f>
        <v>0.65668729396517767</v>
      </c>
      <c r="D13" s="64">
        <f>(Indeks!D13/Indeks!$D$40*Indeks!$D$2)/Indeks!H13*100</f>
        <v>9.5658794431128819E-2</v>
      </c>
      <c r="E13" s="64">
        <f>(Indeks!E13/Indeks!$E$40*Indeks!$E$2)/Indeks!H13*100</f>
        <v>8.9691131269687432E-2</v>
      </c>
      <c r="F13" s="64">
        <f>(Indeks!F13/Indeks!$F$40*Indeks!$F$2)/Indeks!H13*100</f>
        <v>0.10757920032831375</v>
      </c>
      <c r="G13" s="64">
        <f>(Indeks!G13/Indeks!$G$40*Indeks!$G$2)/Indeks!H13*100</f>
        <v>5.0383580005692319E-2</v>
      </c>
      <c r="H13" s="64">
        <f t="shared" si="0"/>
        <v>0.99999999999999989</v>
      </c>
    </row>
    <row r="14" spans="1:8" hidden="1" x14ac:dyDescent="0.2">
      <c r="A14" s="11">
        <v>2005</v>
      </c>
      <c r="B14" t="s">
        <v>16</v>
      </c>
      <c r="C14" s="62">
        <f>(Indeks!C14/Indeks!$C$40*Indeks!$C$2)/Indeks!H14*100</f>
        <v>0.65394855611311076</v>
      </c>
      <c r="D14" s="62">
        <f>(Indeks!D14/Indeks!$D$40*Indeks!$D$2)/Indeks!H14*100</f>
        <v>9.8046102372235933E-2</v>
      </c>
      <c r="E14" s="62">
        <f>(Indeks!E14/Indeks!$E$40*Indeks!$E$2)/Indeks!H14*100</f>
        <v>9.0045859630341979E-2</v>
      </c>
      <c r="F14" s="62">
        <f>(Indeks!F14/Indeks!$F$40*Indeks!$F$2)/Indeks!H14*100</f>
        <v>0.1070235139108538</v>
      </c>
      <c r="G14" s="62">
        <f>(Indeks!G14/Indeks!$G$40*Indeks!$G$2)/Indeks!H14*100</f>
        <v>5.0935967973457542E-2</v>
      </c>
      <c r="H14" s="62">
        <f t="shared" si="0"/>
        <v>1</v>
      </c>
    </row>
    <row r="15" spans="1:8" ht="13.5" hidden="1" thickBot="1" x14ac:dyDescent="0.25">
      <c r="A15" s="31">
        <v>2005</v>
      </c>
      <c r="B15" s="32" t="s">
        <v>17</v>
      </c>
      <c r="C15" s="65">
        <f>(Indeks!C15/Indeks!$C$40*Indeks!$C$2)/Indeks!H15*100</f>
        <v>0.64890071396430504</v>
      </c>
      <c r="D15" s="65">
        <f>(Indeks!D15/Indeks!$D$40*Indeks!$D$2)/Indeks!H15*100</f>
        <v>9.9232079254731501E-2</v>
      </c>
      <c r="E15" s="65">
        <f>(Indeks!E15/Indeks!$E$40*Indeks!$E$2)/Indeks!H15*100</f>
        <v>8.9270442382903228E-2</v>
      </c>
      <c r="F15" s="65">
        <f>(Indeks!F15/Indeks!$F$40*Indeks!$F$2)/Indeks!H15*100</f>
        <v>0.1063035946367093</v>
      </c>
      <c r="G15" s="65">
        <f>(Indeks!G15/Indeks!$G$40*Indeks!$G$2)/Indeks!H15*100</f>
        <v>5.6293169761350889E-2</v>
      </c>
      <c r="H15" s="65">
        <f t="shared" si="0"/>
        <v>1</v>
      </c>
    </row>
    <row r="16" spans="1:8" hidden="1" x14ac:dyDescent="0.2">
      <c r="A16" s="49">
        <v>2006</v>
      </c>
      <c r="B16" s="50" t="s">
        <v>7</v>
      </c>
      <c r="C16" s="62">
        <f>(Indeks!C16/Indeks!$C$40*Indeks!$C$2)/Indeks!H16*100</f>
        <v>0.65356503591280846</v>
      </c>
      <c r="D16" s="62">
        <f>(Indeks!D16/Indeks!$D$40*Indeks!$D$2)/Indeks!H16*100</f>
        <v>9.4004127177116203E-2</v>
      </c>
      <c r="E16" s="62">
        <f>(Indeks!E16/Indeks!$E$40*Indeks!$E$2)/Indeks!H16*100</f>
        <v>8.8961185821914576E-2</v>
      </c>
      <c r="F16" s="62">
        <f>(Indeks!F16/Indeks!$F$40*Indeks!$F$2)/Indeks!H16*100</f>
        <v>0.10600992713138192</v>
      </c>
      <c r="G16" s="62">
        <f>(Indeks!G16/Indeks!$G$40*Indeks!$G$2)/Indeks!H16*100</f>
        <v>5.745972395677882E-2</v>
      </c>
      <c r="H16" s="62">
        <f t="shared" si="0"/>
        <v>0.99999999999999989</v>
      </c>
    </row>
    <row r="17" spans="1:8" hidden="1" x14ac:dyDescent="0.2">
      <c r="A17" s="11">
        <v>2006</v>
      </c>
      <c r="B17" t="s">
        <v>8</v>
      </c>
      <c r="C17" s="62">
        <f>(Indeks!C17/Indeks!$C$40*Indeks!$C$2)/Indeks!H17*100</f>
        <v>0.65539438167919617</v>
      </c>
      <c r="D17" s="62">
        <f>(Indeks!D17/Indeks!$D$40*Indeks!$D$2)/Indeks!H17*100</f>
        <v>9.366824960803799E-2</v>
      </c>
      <c r="E17" s="62">
        <f>(Indeks!E17/Indeks!$E$40*Indeks!$E$2)/Indeks!H17*100</f>
        <v>8.9210190526440816E-2</v>
      </c>
      <c r="F17" s="62">
        <f>(Indeks!F17/Indeks!$F$40*Indeks!$F$2)/Indeks!H17*100</f>
        <v>0.1057745863884282</v>
      </c>
      <c r="G17" s="62">
        <f>(Indeks!G17/Indeks!$G$40*Indeks!$G$2)/Indeks!H17*100</f>
        <v>5.5952591797896828E-2</v>
      </c>
      <c r="H17" s="62">
        <f t="shared" si="0"/>
        <v>1</v>
      </c>
    </row>
    <row r="18" spans="1:8" hidden="1" x14ac:dyDescent="0.2">
      <c r="A18" s="13">
        <v>2006</v>
      </c>
      <c r="B18" s="14" t="s">
        <v>9</v>
      </c>
      <c r="C18" s="63">
        <f>(Indeks!C18/Indeks!$C$40*Indeks!$C$2)/Indeks!H18*100</f>
        <v>0.6546378776379812</v>
      </c>
      <c r="D18" s="63">
        <f>(Indeks!D18/Indeks!$D$40*Indeks!$D$2)/Indeks!H18*100</f>
        <v>9.4308013617076747E-2</v>
      </c>
      <c r="E18" s="63">
        <f>(Indeks!E18/Indeks!$E$40*Indeks!$E$2)/Indeks!H18*100</f>
        <v>8.8785530905726523E-2</v>
      </c>
      <c r="F18" s="63">
        <f>(Indeks!F18/Indeks!$F$40*Indeks!$F$2)/Indeks!H18*100</f>
        <v>0.10607765457913335</v>
      </c>
      <c r="G18" s="63">
        <f>(Indeks!G18/Indeks!$G$40*Indeks!$G$2)/Indeks!H18*100</f>
        <v>5.6190923260082223E-2</v>
      </c>
      <c r="H18" s="63">
        <f t="shared" si="0"/>
        <v>1</v>
      </c>
    </row>
    <row r="19" spans="1:8" hidden="1" x14ac:dyDescent="0.2">
      <c r="A19" s="18">
        <v>2006</v>
      </c>
      <c r="B19" s="19" t="s">
        <v>10</v>
      </c>
      <c r="C19" s="64">
        <f>(Indeks!C19/Indeks!$C$40*Indeks!$C$2)/Indeks!H19*100</f>
        <v>0.65517622401049447</v>
      </c>
      <c r="D19" s="64">
        <f>(Indeks!D19/Indeks!$D$40*Indeks!$D$2)/Indeks!H19*100</f>
        <v>9.3571751309353551E-2</v>
      </c>
      <c r="E19" s="64">
        <f>(Indeks!E19/Indeks!$E$40*Indeks!$E$2)/Indeks!H19*100</f>
        <v>8.9040725874893201E-2</v>
      </c>
      <c r="F19" s="64">
        <f>(Indeks!F19/Indeks!$F$40*Indeks!$F$2)/Indeks!H19*100</f>
        <v>0.10491086157787462</v>
      </c>
      <c r="G19" s="64">
        <f>(Indeks!G19/Indeks!$G$40*Indeks!$G$2)/Indeks!H19*100</f>
        <v>5.730043722738401E-2</v>
      </c>
      <c r="H19" s="64">
        <f t="shared" si="0"/>
        <v>0.99999999999999989</v>
      </c>
    </row>
    <row r="20" spans="1:8" hidden="1" x14ac:dyDescent="0.2">
      <c r="A20" s="11">
        <v>2006</v>
      </c>
      <c r="B20" t="s">
        <v>11</v>
      </c>
      <c r="C20" s="62">
        <f>(Indeks!C20/Indeks!$C$40*Indeks!$C$2)/Indeks!H20*100</f>
        <v>0.65230839952565889</v>
      </c>
      <c r="D20" s="62">
        <f>(Indeks!D20/Indeks!$D$40*Indeks!$D$2)/Indeks!H20*100</f>
        <v>9.4271244342298874E-2</v>
      </c>
      <c r="E20" s="62">
        <f>(Indeks!E20/Indeks!$E$40*Indeks!$E$2)/Indeks!H20*100</f>
        <v>8.8969008976785197E-2</v>
      </c>
      <c r="F20" s="62">
        <f>(Indeks!F20/Indeks!$F$40*Indeks!$F$2)/Indeks!H20*100</f>
        <v>0.10455672995812734</v>
      </c>
      <c r="G20" s="62">
        <f>(Indeks!G20/Indeks!$G$40*Indeks!$G$2)/Indeks!H20*100</f>
        <v>5.9894617197129595E-2</v>
      </c>
      <c r="H20" s="62">
        <f t="shared" si="0"/>
        <v>0.99999999999999989</v>
      </c>
    </row>
    <row r="21" spans="1:8" hidden="1" x14ac:dyDescent="0.2">
      <c r="A21" s="13">
        <v>2006</v>
      </c>
      <c r="B21" s="14" t="s">
        <v>12</v>
      </c>
      <c r="C21" s="63">
        <f>(Indeks!C21/Indeks!$C$40*Indeks!$C$2)/Indeks!H21*100</f>
        <v>0.65017960346312764</v>
      </c>
      <c r="D21" s="63">
        <f>(Indeks!D21/Indeks!$D$40*Indeks!$D$2)/Indeks!H21*100</f>
        <v>9.4995349016171168E-2</v>
      </c>
      <c r="E21" s="63">
        <f>(Indeks!E21/Indeks!$E$40*Indeks!$E$2)/Indeks!H21*100</f>
        <v>8.9074900969822624E-2</v>
      </c>
      <c r="F21" s="63">
        <f>(Indeks!F21/Indeks!$F$40*Indeks!$F$2)/Indeks!H21*100</f>
        <v>0.10411077185026939</v>
      </c>
      <c r="G21" s="63">
        <f>(Indeks!G21/Indeks!$G$40*Indeks!$G$2)/Indeks!H21*100</f>
        <v>6.1639374700609123E-2</v>
      </c>
      <c r="H21" s="63">
        <f t="shared" si="0"/>
        <v>0.99999999999999989</v>
      </c>
    </row>
    <row r="22" spans="1:8" hidden="1" x14ac:dyDescent="0.2">
      <c r="A22" s="18">
        <v>2006</v>
      </c>
      <c r="B22" s="23" t="s">
        <v>30</v>
      </c>
      <c r="C22" s="64">
        <f>(Indeks!C22/Indeks!$C$40*Indeks!$C$2)/Indeks!H22*100</f>
        <v>0.6519301248525402</v>
      </c>
      <c r="D22" s="64">
        <f>(Indeks!D22/Indeks!$D$40*Indeks!$D$2)/Indeks!H22*100</f>
        <v>9.5537069756845366E-2</v>
      </c>
      <c r="E22" s="64">
        <f>(Indeks!E22/Indeks!$E$40*Indeks!$E$2)/Indeks!H22*100</f>
        <v>8.8699186172271238E-2</v>
      </c>
      <c r="F22" s="64">
        <f>(Indeks!F22/Indeks!$F$40*Indeks!$F$2)/Indeks!H22*100</f>
        <v>0.10295425544099945</v>
      </c>
      <c r="G22" s="64">
        <f>(Indeks!G22/Indeks!$G$40*Indeks!$G$2)/Indeks!H22*100</f>
        <v>6.0879363777343654E-2</v>
      </c>
      <c r="H22" s="64">
        <f t="shared" si="0"/>
        <v>1</v>
      </c>
    </row>
    <row r="23" spans="1:8" hidden="1" x14ac:dyDescent="0.2">
      <c r="A23" s="11">
        <v>2006</v>
      </c>
      <c r="B23" t="s">
        <v>13</v>
      </c>
      <c r="C23" s="62">
        <f>(Indeks!C23/Indeks!$C$40*Indeks!$C$2)/Indeks!H23*100</f>
        <v>0.65125526662873612</v>
      </c>
      <c r="D23" s="62">
        <f>(Indeks!D23/Indeks!$D$40*Indeks!$D$2)/Indeks!H23*100</f>
        <v>9.5438172689896461E-2</v>
      </c>
      <c r="E23" s="62">
        <f>(Indeks!E23/Indeks!$E$40*Indeks!$E$2)/Indeks!H23*100</f>
        <v>8.8843653787563398E-2</v>
      </c>
      <c r="F23" s="62">
        <f>(Indeks!F23/Indeks!$F$40*Indeks!$F$2)/Indeks!H23*100</f>
        <v>0.10201490558966433</v>
      </c>
      <c r="G23" s="62">
        <f>(Indeks!G23/Indeks!$G$40*Indeks!$G$2)/Indeks!H23*100</f>
        <v>6.2448001304139682E-2</v>
      </c>
      <c r="H23" s="62">
        <f t="shared" si="0"/>
        <v>1</v>
      </c>
    </row>
    <row r="24" spans="1:8" hidden="1" x14ac:dyDescent="0.2">
      <c r="A24" s="13">
        <v>2006</v>
      </c>
      <c r="B24" s="14" t="s">
        <v>14</v>
      </c>
      <c r="C24" s="63">
        <f>(Indeks!C24/Indeks!$C$40*Indeks!$C$2)/Indeks!H24*100</f>
        <v>0.65125946981805805</v>
      </c>
      <c r="D24" s="63">
        <f>(Indeks!D24/Indeks!$D$40*Indeks!$D$2)/Indeks!H24*100</f>
        <v>9.6097997470189211E-2</v>
      </c>
      <c r="E24" s="63">
        <f>(Indeks!E24/Indeks!$E$40*Indeks!$E$2)/Indeks!H24*100</f>
        <v>8.8607939344592629E-2</v>
      </c>
      <c r="F24" s="63">
        <f>(Indeks!F24/Indeks!$F$40*Indeks!$F$2)/Indeks!H24*100</f>
        <v>0.10232785653479136</v>
      </c>
      <c r="G24" s="63">
        <f>(Indeks!G24/Indeks!$G$40*Indeks!$G$2)/Indeks!H24*100</f>
        <v>6.1706736832368804E-2</v>
      </c>
      <c r="H24" s="63">
        <f t="shared" si="0"/>
        <v>1</v>
      </c>
    </row>
    <row r="25" spans="1:8" hidden="1" x14ac:dyDescent="0.2">
      <c r="A25" s="11">
        <v>2006</v>
      </c>
      <c r="B25" t="s">
        <v>15</v>
      </c>
      <c r="C25" s="64">
        <f>(Indeks!C25/Indeks!$C$40*Indeks!$C$2)/Indeks!H25*100</f>
        <v>0.65189734735996807</v>
      </c>
      <c r="D25" s="64">
        <f>(Indeks!D25/Indeks!$D$40*Indeks!$D$2)/Indeks!H25*100</f>
        <v>9.7414332861129563E-2</v>
      </c>
      <c r="E25" s="64">
        <f>(Indeks!E25/Indeks!$E$40*Indeks!$E$2)/Indeks!H25*100</f>
        <v>8.8010485689206108E-2</v>
      </c>
      <c r="F25" s="64">
        <f>(Indeks!F25/Indeks!$F$40*Indeks!$F$2)/Indeks!H25*100</f>
        <v>0.10153449845373053</v>
      </c>
      <c r="G25" s="64">
        <f>(Indeks!G25/Indeks!$G$40*Indeks!$G$2)/Indeks!H25*100</f>
        <v>6.1143335635965759E-2</v>
      </c>
      <c r="H25" s="64">
        <f t="shared" si="0"/>
        <v>1</v>
      </c>
    </row>
    <row r="26" spans="1:8" hidden="1" x14ac:dyDescent="0.2">
      <c r="A26" s="11">
        <v>2006</v>
      </c>
      <c r="B26" t="s">
        <v>16</v>
      </c>
      <c r="C26" s="62">
        <f>(Indeks!C26/Indeks!$C$40*Indeks!$C$2)/Indeks!H26*100</f>
        <v>0.65467929257608148</v>
      </c>
      <c r="D26" s="62">
        <f>(Indeks!D26/Indeks!$D$40*Indeks!$D$2)/Indeks!H26*100</f>
        <v>9.3811633444800466E-2</v>
      </c>
      <c r="E26" s="62">
        <f>(Indeks!E26/Indeks!$E$40*Indeks!$E$2)/Indeks!H26*100</f>
        <v>8.8700328401303555E-2</v>
      </c>
      <c r="F26" s="62">
        <f>(Indeks!F26/Indeks!$F$40*Indeks!$F$2)/Indeks!H26*100</f>
        <v>0.10155244534044974</v>
      </c>
      <c r="G26" s="62">
        <f>(Indeks!G26/Indeks!$G$40*Indeks!$G$2)/Indeks!H26*100</f>
        <v>6.1256300237364857E-2</v>
      </c>
      <c r="H26" s="62">
        <f t="shared" si="0"/>
        <v>1.0000000000000002</v>
      </c>
    </row>
    <row r="27" spans="1:8" ht="13.5" hidden="1" thickBot="1" x14ac:dyDescent="0.25">
      <c r="A27" s="31">
        <v>2006</v>
      </c>
      <c r="B27" s="32" t="s">
        <v>17</v>
      </c>
      <c r="C27" s="65">
        <f>(Indeks!C27/Indeks!$C$40*Indeks!$C$2)/Indeks!H27*100</f>
        <v>0.65495734763017543</v>
      </c>
      <c r="D27" s="65">
        <f>(Indeks!D27/Indeks!$D$40*Indeks!$D$2)/Indeks!H27*100</f>
        <v>9.0708475894485621E-2</v>
      </c>
      <c r="E27" s="65">
        <f>(Indeks!E27/Indeks!$E$40*Indeks!$E$2)/Indeks!H27*100</f>
        <v>8.8659402398395981E-2</v>
      </c>
      <c r="F27" s="65">
        <f>(Indeks!F27/Indeks!$F$40*Indeks!$F$2)/Indeks!H27*100</f>
        <v>0.10128393376992444</v>
      </c>
      <c r="G27" s="65">
        <f>(Indeks!G27/Indeks!$G$40*Indeks!$G$2)/Indeks!H27*100</f>
        <v>6.439084030701861E-2</v>
      </c>
      <c r="H27" s="65">
        <f t="shared" si="0"/>
        <v>1</v>
      </c>
    </row>
    <row r="28" spans="1:8" hidden="1" x14ac:dyDescent="0.2">
      <c r="A28" s="49">
        <v>2007</v>
      </c>
      <c r="B28" s="50" t="s">
        <v>7</v>
      </c>
      <c r="C28" s="62">
        <f>(Indeks!C28/Indeks!$C$40*Indeks!$C$2)/Indeks!H28*100</f>
        <v>0.65727116197917224</v>
      </c>
      <c r="D28" s="62">
        <f>(Indeks!D28/Indeks!$D$40*Indeks!$D$2)/Indeks!H28*100</f>
        <v>9.0127143140225657E-2</v>
      </c>
      <c r="E28" s="62">
        <f>(Indeks!E28/Indeks!$E$40*Indeks!$E$2)/Indeks!H28*100</f>
        <v>8.8297708515743381E-2</v>
      </c>
      <c r="F28" s="62">
        <f>(Indeks!F28/Indeks!$F$40*Indeks!$F$2)/Indeks!H28*100</f>
        <v>0.10085669178832889</v>
      </c>
      <c r="G28" s="62">
        <f>(Indeks!G28/Indeks!$G$40*Indeks!$G$2)/Indeks!H28*100</f>
        <v>6.3447294576529978E-2</v>
      </c>
      <c r="H28" s="62">
        <f t="shared" si="0"/>
        <v>1</v>
      </c>
    </row>
    <row r="29" spans="1:8" hidden="1" x14ac:dyDescent="0.2">
      <c r="A29" s="11">
        <v>2007</v>
      </c>
      <c r="B29" t="s">
        <v>8</v>
      </c>
      <c r="C29" s="62">
        <f>(Indeks!C29/Indeks!$C$40*Indeks!$C$2)/Indeks!H29*100</f>
        <v>0.6566925162421019</v>
      </c>
      <c r="D29" s="62">
        <f>(Indeks!D29/Indeks!$D$40*Indeks!$D$2)/Indeks!H29*100</f>
        <v>8.9611025514460249E-2</v>
      </c>
      <c r="E29" s="62">
        <f>(Indeks!E29/Indeks!$E$40*Indeks!$E$2)/Indeks!H29*100</f>
        <v>8.829825192705501E-2</v>
      </c>
      <c r="F29" s="62">
        <f>(Indeks!F29/Indeks!$F$40*Indeks!$F$2)/Indeks!H29*100</f>
        <v>0.10097481558612952</v>
      </c>
      <c r="G29" s="62">
        <f>(Indeks!G29/Indeks!$G$40*Indeks!$G$2)/Indeks!H29*100</f>
        <v>6.4423390730253369E-2</v>
      </c>
      <c r="H29" s="62">
        <f t="shared" si="0"/>
        <v>1</v>
      </c>
    </row>
    <row r="30" spans="1:8" hidden="1" x14ac:dyDescent="0.2">
      <c r="A30" s="13">
        <v>2007</v>
      </c>
      <c r="B30" s="14" t="s">
        <v>9</v>
      </c>
      <c r="C30" s="63">
        <f>(Indeks!C30/Indeks!$C$40*Indeks!$C$2)/Indeks!H30*100</f>
        <v>0.65802470545812908</v>
      </c>
      <c r="D30" s="63">
        <f>(Indeks!D30/Indeks!$D$40*Indeks!$D$2)/Indeks!H30*100</f>
        <v>8.6437436275849072E-2</v>
      </c>
      <c r="E30" s="63">
        <f>(Indeks!E30/Indeks!$E$40*Indeks!$E$2)/Indeks!H30*100</f>
        <v>8.8163627260361671E-2</v>
      </c>
      <c r="F30" s="63">
        <f>(Indeks!F30/Indeks!$F$40*Indeks!$F$2)/Indeks!H30*100</f>
        <v>0.10149065964219552</v>
      </c>
      <c r="G30" s="63">
        <f>(Indeks!G30/Indeks!$G$40*Indeks!$G$2)/Indeks!H30*100</f>
        <v>6.5883571363464913E-2</v>
      </c>
      <c r="H30" s="63">
        <f t="shared" si="0"/>
        <v>1.0000000000000002</v>
      </c>
    </row>
    <row r="31" spans="1:8" hidden="1" x14ac:dyDescent="0.2">
      <c r="A31" s="11">
        <v>2007</v>
      </c>
      <c r="B31" t="s">
        <v>10</v>
      </c>
      <c r="C31" s="64">
        <f>(Indeks!C31/Indeks!$C$40*Indeks!$C$2)/Indeks!H31*100</f>
        <v>0.65749583507918652</v>
      </c>
      <c r="D31" s="64">
        <f>(Indeks!D31/Indeks!$D$40*Indeks!$D$2)/Indeks!H31*100</f>
        <v>8.8303449038846904E-2</v>
      </c>
      <c r="E31" s="64">
        <f>(Indeks!E31/Indeks!$E$40*Indeks!$E$2)/Indeks!H31*100</f>
        <v>8.8272292169034899E-2</v>
      </c>
      <c r="F31" s="64">
        <f>(Indeks!F31/Indeks!$F$40*Indeks!$F$2)/Indeks!H31*100</f>
        <v>0.10095314088868293</v>
      </c>
      <c r="G31" s="64">
        <f>(Indeks!G31/Indeks!$G$40*Indeks!$G$2)/Indeks!H31*100</f>
        <v>6.4975282824248665E-2</v>
      </c>
      <c r="H31" s="64">
        <f t="shared" si="0"/>
        <v>0.99999999999999989</v>
      </c>
    </row>
    <row r="32" spans="1:8" hidden="1" x14ac:dyDescent="0.2">
      <c r="A32" s="11">
        <v>2007</v>
      </c>
      <c r="B32" t="s">
        <v>11</v>
      </c>
      <c r="C32" s="62">
        <f>(Indeks!C32/Indeks!$C$40*Indeks!$C$2)/Indeks!H32*100</f>
        <v>0.65658423195744764</v>
      </c>
      <c r="D32" s="62">
        <f>(Indeks!D32/Indeks!$D$40*Indeks!$D$2)/Indeks!H32*100</f>
        <v>8.8902630562693347E-2</v>
      </c>
      <c r="E32" s="62">
        <f>(Indeks!E32/Indeks!$E$40*Indeks!$E$2)/Indeks!H32*100</f>
        <v>8.8537888365284409E-2</v>
      </c>
      <c r="F32" s="62">
        <f>(Indeks!F32/Indeks!$F$40*Indeks!$F$2)/Indeks!H32*100</f>
        <v>0.10050550173621593</v>
      </c>
      <c r="G32" s="62">
        <f>(Indeks!G32/Indeks!$G$40*Indeks!$G$2)/Indeks!H32*100</f>
        <v>6.546974737835852E-2</v>
      </c>
      <c r="H32" s="62">
        <f t="shared" si="0"/>
        <v>0.99999999999999989</v>
      </c>
    </row>
    <row r="33" spans="1:8" hidden="1" x14ac:dyDescent="0.2">
      <c r="A33" s="13">
        <v>2007</v>
      </c>
      <c r="B33" s="14" t="s">
        <v>12</v>
      </c>
      <c r="C33" s="63">
        <f>(Indeks!C33/Indeks!$C$40*Indeks!$C$2)/Indeks!H33*100</f>
        <v>0.65466693532638154</v>
      </c>
      <c r="D33" s="63">
        <f>(Indeks!D33/Indeks!$D$40*Indeks!$D$2)/Indeks!H33*100</f>
        <v>9.0010084955715303E-2</v>
      </c>
      <c r="E33" s="63">
        <f>(Indeks!E33/Indeks!$E$40*Indeks!$E$2)/Indeks!H33*100</f>
        <v>8.8434088513530767E-2</v>
      </c>
      <c r="F33" s="63">
        <f>(Indeks!F33/Indeks!$F$40*Indeks!$F$2)/Indeks!H33*100</f>
        <v>0.1000075005368571</v>
      </c>
      <c r="G33" s="63">
        <f>(Indeks!G33/Indeks!$G$40*Indeks!$G$2)/Indeks!H33*100</f>
        <v>6.6881390667515347E-2</v>
      </c>
      <c r="H33" s="63">
        <f t="shared" si="0"/>
        <v>1</v>
      </c>
    </row>
    <row r="34" spans="1:8" hidden="1" x14ac:dyDescent="0.2">
      <c r="A34" s="11">
        <v>2007</v>
      </c>
      <c r="B34" s="7" t="s">
        <v>30</v>
      </c>
      <c r="C34" s="62">
        <f>(Indeks!C34/Indeks!$C$40*Indeks!$C$2)/Indeks!H34*100</f>
        <v>0.65526562885381989</v>
      </c>
      <c r="D34" s="62">
        <f>(Indeks!D34/Indeks!$D$40*Indeks!$D$2)/Indeks!H34*100</f>
        <v>8.9030853162845383E-2</v>
      </c>
      <c r="E34" s="62">
        <f>(Indeks!E34/Indeks!$E$40*Indeks!$E$2)/Indeks!H34*100</f>
        <v>8.7835696230402077E-2</v>
      </c>
      <c r="F34" s="62">
        <f>(Indeks!F34/Indeks!$F$40*Indeks!$F$2)/Indeks!H34*100</f>
        <v>9.895451714130718E-2</v>
      </c>
      <c r="G34" s="62">
        <f>(Indeks!G34/Indeks!$G$40*Indeks!$G$2)/Indeks!H34*100</f>
        <v>6.8913304611625523E-2</v>
      </c>
      <c r="H34" s="62">
        <f t="shared" si="0"/>
        <v>1.0000000000000002</v>
      </c>
    </row>
    <row r="35" spans="1:8" hidden="1" x14ac:dyDescent="0.2">
      <c r="A35" s="11">
        <v>2007</v>
      </c>
      <c r="B35" t="s">
        <v>13</v>
      </c>
      <c r="C35" s="62">
        <f>(Indeks!C35/Indeks!$C$40*Indeks!$C$2)/Indeks!H35*100</f>
        <v>0.65269181218185479</v>
      </c>
      <c r="D35" s="62">
        <f>(Indeks!D35/Indeks!$D$40*Indeks!$D$2)/Indeks!H35*100</f>
        <v>9.067079020089383E-2</v>
      </c>
      <c r="E35" s="62">
        <f>(Indeks!E35/Indeks!$E$40*Indeks!$E$2)/Indeks!H35*100</f>
        <v>8.7414275478945036E-2</v>
      </c>
      <c r="F35" s="62">
        <f>(Indeks!F35/Indeks!$F$40*Indeks!$F$2)/Indeks!H35*100</f>
        <v>9.8565833873378028E-2</v>
      </c>
      <c r="G35" s="62">
        <f>(Indeks!G35/Indeks!$G$40*Indeks!$G$2)/Indeks!H35*100</f>
        <v>7.0657288264928328E-2</v>
      </c>
      <c r="H35" s="62">
        <f t="shared" si="0"/>
        <v>1</v>
      </c>
    </row>
    <row r="36" spans="1:8" hidden="1" x14ac:dyDescent="0.2">
      <c r="A36" s="13">
        <v>2007</v>
      </c>
      <c r="B36" s="14" t="s">
        <v>14</v>
      </c>
      <c r="C36" s="63">
        <f>(Indeks!C36/Indeks!$C$40*Indeks!$C$2)/Indeks!H36*100</f>
        <v>0.65332449206719478</v>
      </c>
      <c r="D36" s="63">
        <f>(Indeks!D36/Indeks!$D$40*Indeks!$D$2)/Indeks!H36*100</f>
        <v>9.1612210884747483E-2</v>
      </c>
      <c r="E36" s="63">
        <f>(Indeks!E36/Indeks!$E$40*Indeks!$E$2)/Indeks!H36*100</f>
        <v>8.7116583838547895E-2</v>
      </c>
      <c r="F36" s="63">
        <f>(Indeks!F36/Indeks!$F$40*Indeks!$F$2)/Indeks!H36*100</f>
        <v>9.8661377619001234E-2</v>
      </c>
      <c r="G36" s="63">
        <f>(Indeks!G36/Indeks!$G$40*Indeks!$G$2)/Indeks!H36*100</f>
        <v>6.9285335590508701E-2</v>
      </c>
      <c r="H36" s="63">
        <f t="shared" si="0"/>
        <v>1.0000000000000002</v>
      </c>
    </row>
    <row r="37" spans="1:8" hidden="1" x14ac:dyDescent="0.2">
      <c r="A37" s="11">
        <v>2007</v>
      </c>
      <c r="B37" t="s">
        <v>15</v>
      </c>
      <c r="C37" s="62">
        <f>(Indeks!C37/Indeks!$C$40*Indeks!$C$2)/Indeks!H37*100</f>
        <v>0.65637089227381451</v>
      </c>
      <c r="D37" s="62">
        <f>(Indeks!D37/Indeks!$D$40*Indeks!$D$2)/Indeks!H37*100</f>
        <v>9.0446683115444779E-2</v>
      </c>
      <c r="E37" s="62">
        <f>(Indeks!E37/Indeks!$E$40*Indeks!$E$2)/Indeks!H37*100</f>
        <v>8.6393834786395979E-2</v>
      </c>
      <c r="F37" s="62">
        <f>(Indeks!F37/Indeks!$F$40*Indeks!$F$2)/Indeks!H37*100</f>
        <v>9.7814105713449145E-2</v>
      </c>
      <c r="G37" s="62">
        <f>(Indeks!G37/Indeks!$G$40*Indeks!$G$2)/Indeks!H37*100</f>
        <v>6.8974484110895712E-2</v>
      </c>
      <c r="H37" s="62">
        <f t="shared" si="0"/>
        <v>1.0000000000000002</v>
      </c>
    </row>
    <row r="38" spans="1:8" hidden="1" x14ac:dyDescent="0.2">
      <c r="A38" s="11">
        <v>2007</v>
      </c>
      <c r="B38" t="s">
        <v>16</v>
      </c>
      <c r="C38" s="62">
        <f>(Indeks!C38/Indeks!$C$40*Indeks!$C$2)/Indeks!H38*100</f>
        <v>0.65463612941550042</v>
      </c>
      <c r="D38" s="62">
        <f>(Indeks!D38/Indeks!$D$40*Indeks!$D$2)/Indeks!H38*100</f>
        <v>9.2110453355996352E-2</v>
      </c>
      <c r="E38" s="62">
        <f>(Indeks!E38/Indeks!$E$40*Indeks!$E$2)/Indeks!H38*100</f>
        <v>8.6620198429960923E-2</v>
      </c>
      <c r="F38" s="62">
        <f>(Indeks!F38/Indeks!$F$40*Indeks!$F$2)/Indeks!H38*100</f>
        <v>9.755558681870799E-2</v>
      </c>
      <c r="G38" s="62">
        <f>(Indeks!G38/Indeks!$G$40*Indeks!$G$2)/Indeks!H38*100</f>
        <v>6.9077631979834381E-2</v>
      </c>
      <c r="H38" s="62">
        <f t="shared" si="0"/>
        <v>1</v>
      </c>
    </row>
    <row r="39" spans="1:8" ht="13.5" hidden="1" thickBot="1" x14ac:dyDescent="0.25">
      <c r="A39" s="31">
        <v>2007</v>
      </c>
      <c r="B39" s="32" t="s">
        <v>17</v>
      </c>
      <c r="C39" s="65">
        <f>(Indeks!C39/Indeks!$C$40*Indeks!$C$2)/Indeks!H39*100</f>
        <v>0.65413339928839698</v>
      </c>
      <c r="D39" s="65">
        <f>(Indeks!D39/Indeks!$D$40*Indeks!$D$2)/Indeks!H39*100</f>
        <v>9.2462240374166074E-2</v>
      </c>
      <c r="E39" s="65">
        <f>(Indeks!E39/Indeks!$E$40*Indeks!$E$2)/Indeks!H39*100</f>
        <v>8.6856578153719055E-2</v>
      </c>
      <c r="F39" s="65">
        <f>(Indeks!F39/Indeks!$F$40*Indeks!$F$2)/Indeks!H39*100</f>
        <v>9.738058583930774E-2</v>
      </c>
      <c r="G39" s="65">
        <f>(Indeks!G39/Indeks!$G$40*Indeks!$G$2)/Indeks!H39*100</f>
        <v>6.9167196344410362E-2</v>
      </c>
      <c r="H39" s="65">
        <f t="shared" si="0"/>
        <v>1.0000000000000002</v>
      </c>
    </row>
    <row r="40" spans="1:8" s="2" customFormat="1" ht="14.1" hidden="1" customHeight="1" x14ac:dyDescent="0.2">
      <c r="A40" s="2">
        <v>2008</v>
      </c>
      <c r="B40" s="2" t="s">
        <v>7</v>
      </c>
      <c r="C40" s="66">
        <f>(Indeks!C40/Indeks!$C$40*Indeks!$C$2)/Indeks!H40*100</f>
        <v>0.68</v>
      </c>
      <c r="D40" s="66">
        <f>(Indeks!D40/Indeks!$D$40*Indeks!$D$2)/Indeks!H40*100</f>
        <v>0.06</v>
      </c>
      <c r="E40" s="66">
        <f>(Indeks!E40/Indeks!$E$40*Indeks!$E$2)/Indeks!H40*100</f>
        <v>0.09</v>
      </c>
      <c r="F40" s="66">
        <f>(Indeks!F40/Indeks!$F$40*Indeks!$F$2)/Indeks!H40*100</f>
        <v>0.1</v>
      </c>
      <c r="G40" s="66">
        <f>(Indeks!G40/Indeks!$G$40*Indeks!$G$2)/Indeks!H40*100</f>
        <v>7.0000000000000007E-2</v>
      </c>
      <c r="H40" s="66">
        <f>SUM(C40:G40)</f>
        <v>1</v>
      </c>
    </row>
    <row r="41" spans="1:8" ht="14.1" hidden="1" customHeight="1" x14ac:dyDescent="0.2">
      <c r="A41" s="11">
        <f>A40</f>
        <v>2008</v>
      </c>
      <c r="B41" t="s">
        <v>8</v>
      </c>
      <c r="C41" s="62">
        <f>(Indeks!C41/Indeks!$C$40*Indeks!$C$2)/Indeks!H41*100</f>
        <v>0.67873880836506417</v>
      </c>
      <c r="D41" s="62">
        <f>(Indeks!D41/Indeks!$D$40*Indeks!$D$2)/Indeks!H41*100</f>
        <v>5.9888718385152709E-2</v>
      </c>
      <c r="E41" s="62">
        <f>(Indeks!E41/Indeks!$E$40*Indeks!$E$2)/Indeks!H41*100</f>
        <v>8.9755300021384724E-2</v>
      </c>
      <c r="F41" s="62">
        <f>(Indeks!F41/Indeks!$F$40*Indeks!$F$2)/Indeks!H41*100</f>
        <v>9.9403348229390107E-2</v>
      </c>
      <c r="G41" s="62">
        <f>(Indeks!G41/Indeks!$G$40*Indeks!$G$2)/Indeks!H41*100</f>
        <v>7.22138249990084E-2</v>
      </c>
      <c r="H41" s="62">
        <f>SUM(C41:G41)</f>
        <v>1.0000000000000002</v>
      </c>
    </row>
    <row r="42" spans="1:8" ht="14.1" hidden="1" customHeight="1" x14ac:dyDescent="0.2">
      <c r="A42" s="13">
        <f t="shared" ref="A42:A51" si="1">A41</f>
        <v>2008</v>
      </c>
      <c r="B42" s="14" t="s">
        <v>9</v>
      </c>
      <c r="C42" s="63">
        <f>(Indeks!C42/Indeks!$C$40*Indeks!$C$2)/Indeks!H42*100</f>
        <v>0.67506887160131634</v>
      </c>
      <c r="D42" s="63">
        <f>(Indeks!D42/Indeks!$D$40*Indeks!$D$2)/Indeks!H42*100</f>
        <v>6.8773000985811836E-2</v>
      </c>
      <c r="E42" s="63">
        <f>(Indeks!E42/Indeks!$E$40*Indeks!$E$2)/Indeks!H42*100</f>
        <v>8.9502064680220358E-2</v>
      </c>
      <c r="F42" s="63">
        <f>(Indeks!F42/Indeks!$F$40*Indeks!$F$2)/Indeks!H42*100</f>
        <v>9.9786032998558899E-2</v>
      </c>
      <c r="G42" s="63">
        <f>(Indeks!G42/Indeks!$G$40*Indeks!$G$2)/Indeks!H42*100</f>
        <v>6.6870029734092659E-2</v>
      </c>
      <c r="H42" s="63">
        <f t="shared" ref="H42:H51" si="2">SUM(C42:G42)</f>
        <v>1.0000000000000002</v>
      </c>
    </row>
    <row r="43" spans="1:8" ht="14.1" hidden="1" customHeight="1" x14ac:dyDescent="0.2">
      <c r="A43" s="18">
        <f t="shared" si="1"/>
        <v>2008</v>
      </c>
      <c r="B43" s="19" t="s">
        <v>10</v>
      </c>
      <c r="C43" s="64">
        <f>(Indeks!C43/Indeks!$C$40*Indeks!$C$2)/Indeks!H43*100</f>
        <v>0.67754349429796235</v>
      </c>
      <c r="D43" s="64">
        <f>(Indeks!D43/Indeks!$D$40*Indeks!$D$2)/Indeks!H43*100</f>
        <v>6.8208610989845556E-2</v>
      </c>
      <c r="E43" s="64">
        <f>(Indeks!E43/Indeks!$E$40*Indeks!$E$2)/Indeks!H43*100</f>
        <v>8.9841670804247112E-2</v>
      </c>
      <c r="F43" s="64">
        <f>(Indeks!F43/Indeks!$F$40*Indeks!$F$2)/Indeks!H43*100</f>
        <v>9.8662930335918692E-2</v>
      </c>
      <c r="G43" s="64">
        <f>(Indeks!G43/Indeks!$G$40*Indeks!$G$2)/Indeks!H43*100</f>
        <v>6.574329357202624E-2</v>
      </c>
      <c r="H43" s="64">
        <f t="shared" si="2"/>
        <v>0.99999999999999989</v>
      </c>
    </row>
    <row r="44" spans="1:8" ht="14.1" hidden="1" customHeight="1" x14ac:dyDescent="0.2">
      <c r="A44" s="11">
        <f t="shared" si="1"/>
        <v>2008</v>
      </c>
      <c r="B44" t="s">
        <v>11</v>
      </c>
      <c r="C44" s="62">
        <f>(Indeks!C44/Indeks!$C$40*Indeks!$C$2)/Indeks!H44*100</f>
        <v>0.67562475126665678</v>
      </c>
      <c r="D44" s="62">
        <f>(Indeks!D44/Indeks!$D$40*Indeks!$D$2)/Indeks!H44*100</f>
        <v>6.8015450258301094E-2</v>
      </c>
      <c r="E44" s="62">
        <f>(Indeks!E44/Indeks!$E$40*Indeks!$E$2)/Indeks!H44*100</f>
        <v>8.996977170721486E-2</v>
      </c>
      <c r="F44" s="62">
        <f>(Indeks!F44/Indeks!$F$40*Indeks!$F$2)/Indeks!H44*100</f>
        <v>9.8383525675371564E-2</v>
      </c>
      <c r="G44" s="62">
        <f>(Indeks!G44/Indeks!$G$40*Indeks!$G$2)/Indeks!H44*100</f>
        <v>6.8006501092455693E-2</v>
      </c>
      <c r="H44" s="62">
        <f t="shared" si="2"/>
        <v>1</v>
      </c>
    </row>
    <row r="45" spans="1:8" ht="14.1" hidden="1" customHeight="1" x14ac:dyDescent="0.2">
      <c r="A45" s="13">
        <f t="shared" si="1"/>
        <v>2008</v>
      </c>
      <c r="B45" s="14" t="s">
        <v>12</v>
      </c>
      <c r="C45" s="63">
        <f>(Indeks!C45/Indeks!$C$40*Indeks!$C$2)/Indeks!H45*100</f>
        <v>0.67308613417252305</v>
      </c>
      <c r="D45" s="63">
        <f>(Indeks!D45/Indeks!$D$40*Indeks!$D$2)/Indeks!H45*100</f>
        <v>6.8256036320319846E-2</v>
      </c>
      <c r="E45" s="63">
        <f>(Indeks!E45/Indeks!$E$40*Indeks!$E$2)/Indeks!H45*100</f>
        <v>8.9936585786308074E-2</v>
      </c>
      <c r="F45" s="63">
        <f>(Indeks!F45/Indeks!$F$40*Indeks!$F$2)/Indeks!H45*100</f>
        <v>9.7812388496408512E-2</v>
      </c>
      <c r="G45" s="63">
        <f>(Indeks!G45/Indeks!$G$40*Indeks!$G$2)/Indeks!H45*100</f>
        <v>7.0908855224440376E-2</v>
      </c>
      <c r="H45" s="63">
        <f t="shared" si="2"/>
        <v>0.99999999999999978</v>
      </c>
    </row>
    <row r="46" spans="1:8" ht="14.1" hidden="1" customHeight="1" x14ac:dyDescent="0.2">
      <c r="A46" s="18">
        <f t="shared" si="1"/>
        <v>2008</v>
      </c>
      <c r="B46" s="23" t="s">
        <v>30</v>
      </c>
      <c r="C46" s="64">
        <f>(Indeks!C46/Indeks!$C$40*Indeks!$C$2)/Indeks!H46*100</f>
        <v>0.67245287023152833</v>
      </c>
      <c r="D46" s="64">
        <f>(Indeks!D46/Indeks!$D$40*Indeks!$D$2)/Indeks!H46*100</f>
        <v>6.7516043777773593E-2</v>
      </c>
      <c r="E46" s="64">
        <f>(Indeks!E46/Indeks!$E$40*Indeks!$E$2)/Indeks!H46*100</f>
        <v>8.9263109802467808E-2</v>
      </c>
      <c r="F46" s="64">
        <f>(Indeks!F46/Indeks!$F$40*Indeks!$F$2)/Indeks!H46*100</f>
        <v>9.6652321477497222E-2</v>
      </c>
      <c r="G46" s="64">
        <f>(Indeks!G46/Indeks!$G$40*Indeks!$G$2)/Indeks!H46*100</f>
        <v>7.4115654710732976E-2</v>
      </c>
      <c r="H46" s="64">
        <f t="shared" si="2"/>
        <v>1</v>
      </c>
    </row>
    <row r="47" spans="1:8" ht="14.1" hidden="1" customHeight="1" x14ac:dyDescent="0.2">
      <c r="A47" s="11">
        <f t="shared" si="1"/>
        <v>2008</v>
      </c>
      <c r="B47" t="s">
        <v>13</v>
      </c>
      <c r="C47" s="62">
        <f>(Indeks!C47/Indeks!$C$40*Indeks!$C$2)/Indeks!H47*100</f>
        <v>0.66964542729242593</v>
      </c>
      <c r="D47" s="62">
        <f>(Indeks!D47/Indeks!$D$40*Indeks!$D$2)/Indeks!H47*100</f>
        <v>6.7234169093656648E-2</v>
      </c>
      <c r="E47" s="62">
        <f>(Indeks!E47/Indeks!$E$40*Indeks!$E$2)/Indeks!H47*100</f>
        <v>8.9190748212893523E-2</v>
      </c>
      <c r="F47" s="62">
        <f>(Indeks!F47/Indeks!$F$40*Indeks!$F$2)/Indeks!H47*100</f>
        <v>9.6447256048958013E-2</v>
      </c>
      <c r="G47" s="62">
        <f>(Indeks!G47/Indeks!$G$40*Indeks!$G$2)/Indeks!H47*100</f>
        <v>7.7482399352065953E-2</v>
      </c>
      <c r="H47" s="62">
        <f t="shared" si="2"/>
        <v>1</v>
      </c>
    </row>
    <row r="48" spans="1:8" ht="14.1" hidden="1" customHeight="1" x14ac:dyDescent="0.2">
      <c r="A48" s="13">
        <f t="shared" si="1"/>
        <v>2008</v>
      </c>
      <c r="B48" s="14" t="s">
        <v>14</v>
      </c>
      <c r="C48" s="63">
        <f>(Indeks!C48/Indeks!$C$40*Indeks!$C$2)/Indeks!H48*100</f>
        <v>0.66968836439072843</v>
      </c>
      <c r="D48" s="63">
        <f>(Indeks!D48/Indeks!$D$40*Indeks!$D$2)/Indeks!H48*100</f>
        <v>6.8774561672197074E-2</v>
      </c>
      <c r="E48" s="63">
        <f>(Indeks!E48/Indeks!$E$40*Indeks!$E$2)/Indeks!H48*100</f>
        <v>8.8896142243340692E-2</v>
      </c>
      <c r="F48" s="63">
        <f>(Indeks!F48/Indeks!$F$40*Indeks!$F$2)/Indeks!H48*100</f>
        <v>9.6850367902731285E-2</v>
      </c>
      <c r="G48" s="63">
        <f>(Indeks!G48/Indeks!$G$40*Indeks!$G$2)/Indeks!H48*100</f>
        <v>7.5790563791002408E-2</v>
      </c>
      <c r="H48" s="63">
        <f t="shared" si="2"/>
        <v>0.99999999999999978</v>
      </c>
    </row>
    <row r="49" spans="1:8" ht="14.1" hidden="1" customHeight="1" x14ac:dyDescent="0.2">
      <c r="A49" s="18">
        <f t="shared" si="1"/>
        <v>2008</v>
      </c>
      <c r="B49" s="19" t="s">
        <v>15</v>
      </c>
      <c r="C49" s="64">
        <f>(Indeks!C49/Indeks!$C$40*Indeks!$C$2)/Indeks!H49*100</f>
        <v>0.67434018602709966</v>
      </c>
      <c r="D49" s="64">
        <f>(Indeks!D49/Indeks!$D$40*Indeks!$D$2)/Indeks!H49*100</f>
        <v>6.8389713883691694E-2</v>
      </c>
      <c r="E49" s="64">
        <f>(Indeks!E49/Indeks!$E$40*Indeks!$E$2)/Indeks!H49*100</f>
        <v>8.8548020504313166E-2</v>
      </c>
      <c r="F49" s="64">
        <f>(Indeks!F49/Indeks!$F$40*Indeks!$F$2)/Indeks!H49*100</f>
        <v>9.630841388663805E-2</v>
      </c>
      <c r="G49" s="64">
        <f>(Indeks!G49/Indeks!$G$40*Indeks!$G$2)/Indeks!H49*100</f>
        <v>7.2413665698257496E-2</v>
      </c>
      <c r="H49" s="64">
        <f t="shared" si="2"/>
        <v>1.0000000000000002</v>
      </c>
    </row>
    <row r="50" spans="1:8" ht="14.1" hidden="1" customHeight="1" x14ac:dyDescent="0.2">
      <c r="A50" s="11">
        <f t="shared" si="1"/>
        <v>2008</v>
      </c>
      <c r="B50" t="s">
        <v>16</v>
      </c>
      <c r="C50" s="62">
        <f>(Indeks!C50/Indeks!$C$40*Indeks!$C$2)/Indeks!H50*100</f>
        <v>0.67382268216957464</v>
      </c>
      <c r="D50" s="62">
        <f>(Indeks!D50/Indeks!$D$40*Indeks!$D$2)/Indeks!H50*100</f>
        <v>6.8337230075840416E-2</v>
      </c>
      <c r="E50" s="62">
        <f>(Indeks!E50/Indeks!$E$40*Indeks!$E$2)/Indeks!H50*100</f>
        <v>8.8853085588805961E-2</v>
      </c>
      <c r="F50" s="62">
        <f>(Indeks!F50/Indeks!$F$40*Indeks!$F$2)/Indeks!H50*100</f>
        <v>9.6628908346690148E-2</v>
      </c>
      <c r="G50" s="62">
        <f>(Indeks!G50/Indeks!$G$40*Indeks!$G$2)/Indeks!H50*100</f>
        <v>7.2358093819088976E-2</v>
      </c>
      <c r="H50" s="62">
        <f t="shared" si="2"/>
        <v>1</v>
      </c>
    </row>
    <row r="51" spans="1:8" ht="14.1" hidden="1" customHeight="1" thickBot="1" x14ac:dyDescent="0.25">
      <c r="A51" s="31">
        <f t="shared" si="1"/>
        <v>2008</v>
      </c>
      <c r="B51" s="32" t="s">
        <v>17</v>
      </c>
      <c r="C51" s="65">
        <f>(Indeks!C51/Indeks!$C$40*Indeks!$C$2)/Indeks!H51*100</f>
        <v>0.66365082327168634</v>
      </c>
      <c r="D51" s="65">
        <f>(Indeks!D51/Indeks!$D$40*Indeks!$D$2)/Indeks!H51*100</f>
        <v>7.6940241105312862E-2</v>
      </c>
      <c r="E51" s="65">
        <f>(Indeks!E51/Indeks!$E$40*Indeks!$E$2)/Indeks!H51*100</f>
        <v>8.7364826470267928E-2</v>
      </c>
      <c r="F51" s="65">
        <f>(Indeks!F51/Indeks!$F$40*Indeks!$F$2)/Indeks!H51*100</f>
        <v>9.6626909561753668E-2</v>
      </c>
      <c r="G51" s="65">
        <f>(Indeks!G51/Indeks!$G$40*Indeks!$G$2)/Indeks!H51*100</f>
        <v>7.5417199590979131E-2</v>
      </c>
      <c r="H51" s="65">
        <f t="shared" si="2"/>
        <v>0.99999999999999989</v>
      </c>
    </row>
    <row r="52" spans="1:8" ht="14.1" hidden="1" customHeight="1" x14ac:dyDescent="0.2">
      <c r="A52" s="49">
        <v>2009</v>
      </c>
      <c r="B52" s="50" t="s">
        <v>7</v>
      </c>
      <c r="C52" s="51">
        <f>(Indeks!C52/Indeks!$C$40*Indeks!$C$2)/Indeks!H52*100</f>
        <v>0.66987163464378541</v>
      </c>
      <c r="D52" s="51">
        <f>(Indeks!D52/Indeks!$D$40*Indeks!$D$2)/Indeks!H52*100</f>
        <v>7.6908783741119743E-2</v>
      </c>
      <c r="E52" s="51">
        <f>(Indeks!E52/Indeks!$E$40*Indeks!$E$2)/Indeks!H52*100</f>
        <v>8.7108764393035373E-2</v>
      </c>
      <c r="F52" s="51">
        <f>(Indeks!F52/Indeks!$F$40*Indeks!$F$2)/Indeks!H52*100</f>
        <v>9.7363985350871068E-2</v>
      </c>
      <c r="G52" s="51">
        <f>(Indeks!G52/Indeks!$G$40*Indeks!$G$2)/Indeks!H52*100</f>
        <v>6.8746831871188477E-2</v>
      </c>
      <c r="H52" s="51">
        <f t="shared" ref="H52:H58" si="3">SUM(C52:G52)</f>
        <v>1.0000000000000002</v>
      </c>
    </row>
    <row r="53" spans="1:8" ht="14.1" hidden="1" customHeight="1" x14ac:dyDescent="0.2">
      <c r="A53" s="11">
        <f>A52</f>
        <v>2009</v>
      </c>
      <c r="B53" t="s">
        <v>8</v>
      </c>
      <c r="C53" s="62">
        <f>(Indeks!C53/Indeks!$C$40*Indeks!$C$2)/Indeks!H53*100</f>
        <v>0.67501861185729495</v>
      </c>
      <c r="D53" s="62">
        <f>(Indeks!D53/Indeks!$D$40*Indeks!$D$2)/Indeks!H53*100</f>
        <v>7.7499714506003917E-2</v>
      </c>
      <c r="E53" s="62">
        <f>(Indeks!E53/Indeks!$E$40*Indeks!$E$2)/Indeks!H53*100</f>
        <v>8.7482019547609077E-2</v>
      </c>
      <c r="F53" s="62">
        <f>(Indeks!F53/Indeks!$F$40*Indeks!$F$2)/Indeks!H53*100</f>
        <v>9.811208422250621E-2</v>
      </c>
      <c r="G53" s="62">
        <f>(Indeks!G53/Indeks!$G$40*Indeks!$G$2)/Indeks!H53*100</f>
        <v>6.1887569866586077E-2</v>
      </c>
      <c r="H53" s="62">
        <f t="shared" si="3"/>
        <v>1.0000000000000002</v>
      </c>
    </row>
    <row r="54" spans="1:8" ht="14.1" hidden="1" customHeight="1" x14ac:dyDescent="0.2">
      <c r="A54" s="13">
        <f t="shared" ref="A54:A63" si="4">A53</f>
        <v>2009</v>
      </c>
      <c r="B54" s="14" t="s">
        <v>9</v>
      </c>
      <c r="C54" s="63">
        <f>(Indeks!C54/Indeks!$C$40*Indeks!$C$2)/Indeks!H54*100</f>
        <v>0.67998383852675082</v>
      </c>
      <c r="D54" s="63">
        <f>(Indeks!D54/Indeks!$D$40*Indeks!$D$2)/Indeks!H54*100</f>
        <v>7.2869748632097914E-2</v>
      </c>
      <c r="E54" s="63">
        <f>(Indeks!E54/Indeks!$E$40*Indeks!$E$2)/Indeks!H54*100</f>
        <v>8.7827284960235993E-2</v>
      </c>
      <c r="F54" s="63">
        <f>(Indeks!F54/Indeks!$F$40*Indeks!$F$2)/Indeks!H54*100</f>
        <v>9.7257155729118069E-2</v>
      </c>
      <c r="G54" s="63">
        <f>(Indeks!G54/Indeks!$G$40*Indeks!$G$2)/Indeks!H54*100</f>
        <v>6.2061972151797352E-2</v>
      </c>
      <c r="H54" s="63">
        <f t="shared" si="3"/>
        <v>1.0000000000000002</v>
      </c>
    </row>
    <row r="55" spans="1:8" ht="14.1" hidden="1" customHeight="1" x14ac:dyDescent="0.2">
      <c r="A55" s="18">
        <f t="shared" si="4"/>
        <v>2009</v>
      </c>
      <c r="B55" s="19" t="s">
        <v>10</v>
      </c>
      <c r="C55" s="64">
        <f>(Indeks!C55/Indeks!$C$40*Indeks!$C$2)/Indeks!H55*100</f>
        <v>0.68249962351245141</v>
      </c>
      <c r="D55" s="64">
        <f>(Indeks!D55/Indeks!$D$40*Indeks!$D$2)/Indeks!H55*100</f>
        <v>7.2500578452069572E-2</v>
      </c>
      <c r="E55" s="64">
        <f>(Indeks!E55/Indeks!$E$40*Indeks!$E$2)/Indeks!H55*100</f>
        <v>8.8495015751563905E-2</v>
      </c>
      <c r="F55" s="64">
        <f>(Indeks!F55/Indeks!$F$40*Indeks!$F$2)/Indeks!H55*100</f>
        <v>9.8529135858228575E-2</v>
      </c>
      <c r="G55" s="64">
        <f>(Indeks!G55/Indeks!$G$40*Indeks!$G$2)/Indeks!H55*100</f>
        <v>5.7975646425686575E-2</v>
      </c>
      <c r="H55" s="64">
        <f t="shared" si="3"/>
        <v>1</v>
      </c>
    </row>
    <row r="56" spans="1:8" ht="14.1" hidden="1" customHeight="1" x14ac:dyDescent="0.2">
      <c r="A56" s="11">
        <f t="shared" si="4"/>
        <v>2009</v>
      </c>
      <c r="B56" t="s">
        <v>11</v>
      </c>
      <c r="C56" s="62">
        <f>(Indeks!C56/Indeks!$C$40*Indeks!$C$2)/Indeks!H56*100</f>
        <v>0.68413095963143111</v>
      </c>
      <c r="D56" s="62">
        <f>(Indeks!D56/Indeks!$D$40*Indeks!$D$2)/Indeks!H56*100</f>
        <v>7.2673872045503518E-2</v>
      </c>
      <c r="E56" s="62">
        <f>(Indeks!E56/Indeks!$E$40*Indeks!$E$2)/Indeks!H56*100</f>
        <v>8.9003963283269191E-2</v>
      </c>
      <c r="F56" s="62">
        <f>(Indeks!F56/Indeks!$F$40*Indeks!$F$2)/Indeks!H56*100</f>
        <v>9.9157736992771348E-2</v>
      </c>
      <c r="G56" s="62">
        <f>(Indeks!G56/Indeks!$G$40*Indeks!$G$2)/Indeks!H56*100</f>
        <v>5.5033468047024928E-2</v>
      </c>
      <c r="H56" s="62">
        <f t="shared" si="3"/>
        <v>1.0000000000000002</v>
      </c>
    </row>
    <row r="57" spans="1:8" ht="14.1" hidden="1" customHeight="1" x14ac:dyDescent="0.2">
      <c r="A57" s="13">
        <f t="shared" si="4"/>
        <v>2009</v>
      </c>
      <c r="B57" s="14" t="s">
        <v>12</v>
      </c>
      <c r="C57" s="63">
        <f>(Indeks!C57/Indeks!$C$40*Indeks!$C$2)/Indeks!H57*100</f>
        <v>0.6904921457648342</v>
      </c>
      <c r="D57" s="63">
        <f>(Indeks!D57/Indeks!$D$40*Indeks!$D$2)/Indeks!H57*100</f>
        <v>6.588204580906791E-2</v>
      </c>
      <c r="E57" s="63">
        <f>(Indeks!E57/Indeks!$E$40*Indeks!$E$2)/Indeks!H57*100</f>
        <v>8.9756492653767103E-2</v>
      </c>
      <c r="F57" s="63">
        <f>(Indeks!F57/Indeks!$F$40*Indeks!$F$2)/Indeks!H57*100</f>
        <v>9.8889480906963131E-2</v>
      </c>
      <c r="G57" s="63">
        <f>(Indeks!G57/Indeks!$G$40*Indeks!$G$2)/Indeks!H57*100</f>
        <v>5.4979834865367685E-2</v>
      </c>
      <c r="H57" s="63">
        <f t="shared" si="3"/>
        <v>1</v>
      </c>
    </row>
    <row r="58" spans="1:8" ht="14.1" hidden="1" customHeight="1" x14ac:dyDescent="0.2">
      <c r="A58" s="18">
        <f t="shared" si="4"/>
        <v>2009</v>
      </c>
      <c r="B58" s="23" t="s">
        <v>30</v>
      </c>
      <c r="C58" s="64">
        <f>(Indeks!C58/Indeks!$C$40*Indeks!$C$2)/Indeks!H58*100</f>
        <v>0.69301860724189945</v>
      </c>
      <c r="D58" s="64">
        <f>(Indeks!D58/Indeks!$D$40*Indeks!$D$2)/Indeks!H58*100</f>
        <v>6.549390443044846E-2</v>
      </c>
      <c r="E58" s="64">
        <f>(Indeks!E58/Indeks!$E$40*Indeks!$E$2)/Indeks!H58*100</f>
        <v>8.9451511238753528E-2</v>
      </c>
      <c r="F58" s="64">
        <f>(Indeks!F58/Indeks!$F$40*Indeks!$F$2)/Indeks!H58*100</f>
        <v>9.8504082945575125E-2</v>
      </c>
      <c r="G58" s="64">
        <f>(Indeks!G58/Indeks!$G$40*Indeks!$G$2)/Indeks!H58*100</f>
        <v>5.3531894143323454E-2</v>
      </c>
      <c r="H58" s="64">
        <f t="shared" si="3"/>
        <v>1</v>
      </c>
    </row>
    <row r="59" spans="1:8" ht="14.1" hidden="1" customHeight="1" x14ac:dyDescent="0.2">
      <c r="A59" s="11">
        <f t="shared" si="4"/>
        <v>2009</v>
      </c>
      <c r="B59" t="s">
        <v>13</v>
      </c>
      <c r="C59" s="62">
        <f>(Indeks!C59/Indeks!$C$40*Indeks!$C$2)/Indeks!H59*100</f>
        <v>0.69499424390075704</v>
      </c>
      <c r="D59" s="62">
        <f>(Indeks!D59/Indeks!$D$40*Indeks!$D$2)/Indeks!H59*100</f>
        <v>6.5680612488749332E-2</v>
      </c>
      <c r="E59" s="62">
        <f>(Indeks!E59/Indeks!$E$40*Indeks!$E$2)/Indeks!H59*100</f>
        <v>8.9930970260706983E-2</v>
      </c>
      <c r="F59" s="62">
        <f>(Indeks!F59/Indeks!$F$40*Indeks!$F$2)/Indeks!H59*100</f>
        <v>9.7400522521728608E-2</v>
      </c>
      <c r="G59" s="62">
        <f>(Indeks!G59/Indeks!$G$40*Indeks!$G$2)/Indeks!H59*100</f>
        <v>5.1993650828058173E-2</v>
      </c>
      <c r="H59" s="62">
        <f>SUM(C59:G59)</f>
        <v>1</v>
      </c>
    </row>
    <row r="60" spans="1:8" ht="14.1" hidden="1" customHeight="1" x14ac:dyDescent="0.2">
      <c r="A60" s="13">
        <f t="shared" si="4"/>
        <v>2009</v>
      </c>
      <c r="B60" s="14" t="s">
        <v>14</v>
      </c>
      <c r="C60" s="67">
        <f>(Indeks!C60/Indeks!$C$40*Indeks!$C$2)/Indeks!H60*100</f>
        <v>0.69971037905094435</v>
      </c>
      <c r="D60" s="67">
        <f>(Indeks!D60/Indeks!$D$40*Indeks!$D$2)/Indeks!H60*100</f>
        <v>6.3254300637186775E-2</v>
      </c>
      <c r="E60" s="67">
        <f>(Indeks!E60/Indeks!$E$40*Indeks!$E$2)/Indeks!H60*100</f>
        <v>9.0089276537657179E-2</v>
      </c>
      <c r="F60" s="67">
        <f>(Indeks!F60/Indeks!$F$40*Indeks!$F$2)/Indeks!H60*100</f>
        <v>9.7862359461332551E-2</v>
      </c>
      <c r="G60" s="67">
        <f>(Indeks!G60/Indeks!$G$40*Indeks!$G$2)/Indeks!H60*100</f>
        <v>4.9083684312879183E-2</v>
      </c>
      <c r="H60" s="67">
        <f>SUM(C60:G60)</f>
        <v>1</v>
      </c>
    </row>
    <row r="61" spans="1:8" ht="14.1" hidden="1" customHeight="1" x14ac:dyDescent="0.2">
      <c r="A61" s="11">
        <f t="shared" si="4"/>
        <v>2009</v>
      </c>
      <c r="B61" t="s">
        <v>15</v>
      </c>
      <c r="C61" s="62">
        <f>(Indeks!C61/Indeks!$C$40*Indeks!$C$2)/Indeks!H61*100</f>
        <v>0.70146703844017655</v>
      </c>
      <c r="D61" s="62">
        <f>(Indeks!D61/Indeks!$D$40*Indeks!$D$2)/Indeks!H61*100</f>
        <v>6.3303582088671359E-2</v>
      </c>
      <c r="E61" s="62">
        <f>(Indeks!E61/Indeks!$E$40*Indeks!$E$2)/Indeks!H61*100</f>
        <v>9.0385617634342164E-2</v>
      </c>
      <c r="F61" s="62">
        <f>(Indeks!F61/Indeks!$F$40*Indeks!$F$2)/Indeks!H61*100</f>
        <v>9.7141545232914336E-2</v>
      </c>
      <c r="G61" s="62">
        <f>(Indeks!G61/Indeks!$G$40*Indeks!$G$2)/Indeks!H61*100</f>
        <v>4.7702216603895703E-2</v>
      </c>
      <c r="H61" s="62">
        <f>SUM(C61:G61)</f>
        <v>1</v>
      </c>
    </row>
    <row r="62" spans="1:8" ht="14.1" hidden="1" customHeight="1" x14ac:dyDescent="0.2">
      <c r="A62" s="11">
        <f t="shared" si="4"/>
        <v>2009</v>
      </c>
      <c r="B62" t="s">
        <v>16</v>
      </c>
      <c r="C62" s="62">
        <f>(Indeks!C62/Indeks!$C$40*Indeks!$C$2)/Indeks!H62*100</f>
        <v>0.70272807377443536</v>
      </c>
      <c r="D62" s="62">
        <f>(Indeks!D62/Indeks!$D$40*Indeks!$D$2)/Indeks!H62*100</f>
        <v>6.3417383663691151E-2</v>
      </c>
      <c r="E62" s="62">
        <f>(Indeks!E62/Indeks!$E$40*Indeks!$E$2)/Indeks!H62*100</f>
        <v>9.0699144269343279E-2</v>
      </c>
      <c r="F62" s="62">
        <f>(Indeks!F62/Indeks!$F$40*Indeks!$F$2)/Indeks!H62*100</f>
        <v>9.7216366237773133E-2</v>
      </c>
      <c r="G62" s="62">
        <f>(Indeks!G62/Indeks!$G$40*Indeks!$G$2)/Indeks!H62*100</f>
        <v>4.5939032054757127E-2</v>
      </c>
      <c r="H62" s="62">
        <f>SUM(C62:G62)</f>
        <v>1</v>
      </c>
    </row>
    <row r="63" spans="1:8" ht="14.1" hidden="1" customHeight="1" thickBot="1" x14ac:dyDescent="0.25">
      <c r="A63" s="31">
        <f t="shared" si="4"/>
        <v>2009</v>
      </c>
      <c r="B63" s="32" t="s">
        <v>17</v>
      </c>
      <c r="C63" s="65">
        <f>(Indeks!C63/Indeks!$C$40*Indeks!$C$2)/Indeks!H63*100</f>
        <v>0.69683236066922527</v>
      </c>
      <c r="D63" s="65">
        <f>(Indeks!D63/Indeks!$D$40*Indeks!$D$2)/Indeks!H63*100</f>
        <v>6.5183462544082013E-2</v>
      </c>
      <c r="E63" s="65">
        <f>(Indeks!E63/Indeks!$E$40*Indeks!$E$2)/Indeks!H63*100</f>
        <v>8.9938201091667197E-2</v>
      </c>
      <c r="F63" s="65">
        <f>(Indeks!F63/Indeks!$F$40*Indeks!$F$2)/Indeks!H63*100</f>
        <v>9.600484891061753E-2</v>
      </c>
      <c r="G63" s="65">
        <f>(Indeks!G63/Indeks!$G$40*Indeks!$G$2)/Indeks!H63*100</f>
        <v>5.2041126784408018E-2</v>
      </c>
      <c r="H63" s="65">
        <f>SUM(C63:G63)</f>
        <v>1</v>
      </c>
    </row>
    <row r="64" spans="1:8" ht="14.1" hidden="1" customHeight="1" x14ac:dyDescent="0.2">
      <c r="A64" s="49">
        <v>2010</v>
      </c>
      <c r="B64" s="50" t="s">
        <v>7</v>
      </c>
      <c r="C64" s="51">
        <f>(Indeks!C64/Indeks!$C$40*Indeks!$C$2)/Indeks!H64*100</f>
        <v>0.70148645727775782</v>
      </c>
      <c r="D64" s="51">
        <f>(Indeks!D64/Indeks!$D$40*Indeks!$D$2)/Indeks!H64*100</f>
        <v>6.5112760792953153E-2</v>
      </c>
      <c r="E64" s="51">
        <f>(Indeks!E64/Indeks!$E$40*Indeks!$E$2)/Indeks!H64*100</f>
        <v>8.9840648920266983E-2</v>
      </c>
      <c r="F64" s="51">
        <f>(Indeks!F64/Indeks!$F$40*Indeks!$F$2)/Indeks!H64*100</f>
        <v>9.5801849784292389E-2</v>
      </c>
      <c r="G64" s="51">
        <f>(Indeks!G64/Indeks!$G$40*Indeks!$G$2)/Indeks!H64*100</f>
        <v>4.7758283224729768E-2</v>
      </c>
      <c r="H64" s="51">
        <f t="shared" ref="H64:H70" si="5">SUM(C64:G64)</f>
        <v>1.0000000000000002</v>
      </c>
    </row>
    <row r="65" spans="1:8" ht="14.1" hidden="1" customHeight="1" x14ac:dyDescent="0.2">
      <c r="A65" s="11">
        <f>A64</f>
        <v>2010</v>
      </c>
      <c r="B65" t="s">
        <v>8</v>
      </c>
      <c r="C65" s="62">
        <f>(Indeks!C65/Indeks!$C$40*Indeks!$C$2)/Indeks!H65*100</f>
        <v>0.7023536081154873</v>
      </c>
      <c r="D65" s="62">
        <f>(Indeks!D65/Indeks!$D$40*Indeks!$D$2)/Indeks!H65*100</f>
        <v>6.5193250707594699E-2</v>
      </c>
      <c r="E65" s="62">
        <f>(Indeks!E65/Indeks!$E$40*Indeks!$E$2)/Indeks!H65*100</f>
        <v>8.9801911826340619E-2</v>
      </c>
      <c r="F65" s="62">
        <f>(Indeks!F65/Indeks!$F$40*Indeks!$F$2)/Indeks!H65*100</f>
        <v>9.5821287448433337E-2</v>
      </c>
      <c r="G65" s="62">
        <f>(Indeks!G65/Indeks!$G$40*Indeks!$G$2)/Indeks!H65*100</f>
        <v>4.6829941902144179E-2</v>
      </c>
      <c r="H65" s="62">
        <f t="shared" si="5"/>
        <v>1.0000000000000002</v>
      </c>
    </row>
    <row r="66" spans="1:8" ht="14.1" hidden="1" customHeight="1" x14ac:dyDescent="0.2">
      <c r="A66" s="13">
        <f t="shared" ref="A66:A75" si="6">A65</f>
        <v>2010</v>
      </c>
      <c r="B66" s="14" t="s">
        <v>9</v>
      </c>
      <c r="C66" s="63">
        <f>(Indeks!C66/Indeks!$C$40*Indeks!$C$2)/Indeks!H66*100</f>
        <v>0.70412109928718047</v>
      </c>
      <c r="D66" s="63">
        <f>(Indeks!D66/Indeks!$D$40*Indeks!$D$2)/Indeks!H66*100</f>
        <v>6.4309918415128883E-2</v>
      </c>
      <c r="E66" s="63">
        <f>(Indeks!E66/Indeks!$E$40*Indeks!$E$2)/Indeks!H66*100</f>
        <v>9.025315814567382E-2</v>
      </c>
      <c r="F66" s="63">
        <f>(Indeks!F66/Indeks!$F$40*Indeks!$F$2)/Indeks!H66*100</f>
        <v>9.7054804632714112E-2</v>
      </c>
      <c r="G66" s="63">
        <f>(Indeks!G66/Indeks!$G$40*Indeks!$G$2)/Indeks!H66*100</f>
        <v>4.426101951930278E-2</v>
      </c>
      <c r="H66" s="63">
        <f t="shared" si="5"/>
        <v>1</v>
      </c>
    </row>
    <row r="67" spans="1:8" ht="14.1" hidden="1" customHeight="1" x14ac:dyDescent="0.2">
      <c r="A67" s="18">
        <f t="shared" si="6"/>
        <v>2010</v>
      </c>
      <c r="B67" s="19" t="s">
        <v>10</v>
      </c>
      <c r="C67" s="64">
        <f>(Indeks!C67/Indeks!$C$40*Indeks!$C$2)/Indeks!H67*100</f>
        <v>0.70512860821380907</v>
      </c>
      <c r="D67" s="64">
        <f>(Indeks!D67/Indeks!$D$40*Indeks!$D$2)/Indeks!H67*100</f>
        <v>6.4251635537825272E-2</v>
      </c>
      <c r="E67" s="64">
        <f>(Indeks!E67/Indeks!$E$40*Indeks!$E$2)/Indeks!H67*100</f>
        <v>9.1122673378015467E-2</v>
      </c>
      <c r="F67" s="64">
        <f>(Indeks!F67/Indeks!$F$40*Indeks!$F$2)/Indeks!H67*100</f>
        <v>9.7158797266495289E-2</v>
      </c>
      <c r="G67" s="64">
        <f>(Indeks!G67/Indeks!$G$40*Indeks!$G$2)/Indeks!H67*100</f>
        <v>4.2338285603854914E-2</v>
      </c>
      <c r="H67" s="64">
        <f t="shared" si="5"/>
        <v>1.0000000000000002</v>
      </c>
    </row>
    <row r="68" spans="1:8" ht="14.1" hidden="1" customHeight="1" x14ac:dyDescent="0.2">
      <c r="A68" s="11">
        <f t="shared" si="6"/>
        <v>2010</v>
      </c>
      <c r="B68" t="s">
        <v>11</v>
      </c>
      <c r="C68" s="62">
        <f>(Indeks!C68/Indeks!$C$40*Indeks!$C$2)/Indeks!H68*100</f>
        <v>0.70554459703970773</v>
      </c>
      <c r="D68" s="62">
        <f>(Indeks!D68/Indeks!$D$40*Indeks!$D$2)/Indeks!H68*100</f>
        <v>6.4289540626511363E-2</v>
      </c>
      <c r="E68" s="62">
        <f>(Indeks!E68/Indeks!$E$40*Indeks!$E$2)/Indeks!H68*100</f>
        <v>9.1701295290014626E-2</v>
      </c>
      <c r="F68" s="62">
        <f>(Indeks!F68/Indeks!$F$40*Indeks!$F$2)/Indeks!H68*100</f>
        <v>9.7513412841774075E-2</v>
      </c>
      <c r="G68" s="62">
        <f>(Indeks!G68/Indeks!$G$40*Indeks!$G$2)/Indeks!H68*100</f>
        <v>4.0951154201992065E-2</v>
      </c>
      <c r="H68" s="62">
        <f t="shared" si="5"/>
        <v>0.99999999999999978</v>
      </c>
    </row>
    <row r="69" spans="1:8" ht="14.1" hidden="1" customHeight="1" x14ac:dyDescent="0.2">
      <c r="A69" s="13">
        <f t="shared" si="6"/>
        <v>2010</v>
      </c>
      <c r="B69" s="14" t="s">
        <v>12</v>
      </c>
      <c r="C69" s="63">
        <f>(Indeks!C69/Indeks!$C$40*Indeks!$C$2)/Indeks!H69*100</f>
        <v>0.70614139368172446</v>
      </c>
      <c r="D69" s="63">
        <f>(Indeks!D69/Indeks!$D$40*Indeks!$D$2)/Indeks!H69*100</f>
        <v>6.4972007001415838E-2</v>
      </c>
      <c r="E69" s="63">
        <f>(Indeks!E69/Indeks!$E$40*Indeks!$E$2)/Indeks!H69*100</f>
        <v>9.1928950439460561E-2</v>
      </c>
      <c r="F69" s="63">
        <f>(Indeks!F69/Indeks!$F$40*Indeks!$F$2)/Indeks!H69*100</f>
        <v>9.8091810291882853E-2</v>
      </c>
      <c r="G69" s="63">
        <f>(Indeks!G69/Indeks!$G$40*Indeks!$G$2)/Indeks!H69*100</f>
        <v>3.8865838585516184E-2</v>
      </c>
      <c r="H69" s="63">
        <f t="shared" si="5"/>
        <v>0.99999999999999989</v>
      </c>
    </row>
    <row r="70" spans="1:8" ht="14.1" hidden="1" customHeight="1" x14ac:dyDescent="0.2">
      <c r="A70" s="18">
        <f t="shared" si="6"/>
        <v>2010</v>
      </c>
      <c r="B70" s="23" t="s">
        <v>30</v>
      </c>
      <c r="C70" s="64">
        <f>(Indeks!C70/Indeks!$C$40*Indeks!$C$2)/Indeks!H70*100</f>
        <v>0.71186146248319782</v>
      </c>
      <c r="D70" s="64">
        <f>(Indeks!D70/Indeks!$D$40*Indeks!$D$2)/Indeks!H70*100</f>
        <v>6.4779156282674638E-2</v>
      </c>
      <c r="E70" s="64">
        <f>(Indeks!E70/Indeks!$E$40*Indeks!$E$2)/Indeks!H70*100</f>
        <v>9.1656085786149352E-2</v>
      </c>
      <c r="F70" s="64">
        <f>(Indeks!F70/Indeks!$F$40*Indeks!$F$2)/Indeks!H70*100</f>
        <v>9.7602876110070499E-2</v>
      </c>
      <c r="G70" s="64">
        <f>(Indeks!G70/Indeks!$G$40*Indeks!$G$2)/Indeks!H70*100</f>
        <v>3.4100419337907709E-2</v>
      </c>
      <c r="H70" s="64">
        <f t="shared" si="5"/>
        <v>1</v>
      </c>
    </row>
    <row r="71" spans="1:8" ht="14.1" hidden="1" customHeight="1" x14ac:dyDescent="0.2">
      <c r="A71" s="11">
        <f t="shared" si="6"/>
        <v>2010</v>
      </c>
      <c r="B71" t="s">
        <v>13</v>
      </c>
      <c r="C71" s="62">
        <f>(Indeks!C71/Indeks!$C$40*Indeks!$C$2)/Indeks!H71*100</f>
        <v>0.71007361328385199</v>
      </c>
      <c r="D71" s="62">
        <f>(Indeks!D71/Indeks!$D$40*Indeks!$D$2)/Indeks!H71*100</f>
        <v>6.4616462600268668E-2</v>
      </c>
      <c r="E71" s="62">
        <f>(Indeks!E71/Indeks!$E$40*Indeks!$E$2)/Indeks!H71*100</f>
        <v>9.1276623590590314E-2</v>
      </c>
      <c r="F71" s="62">
        <f>(Indeks!F71/Indeks!$F$40*Indeks!$F$2)/Indeks!H71*100</f>
        <v>9.9034626357630468E-2</v>
      </c>
      <c r="G71" s="62">
        <f>(Indeks!G71/Indeks!$G$40*Indeks!$G$2)/Indeks!H71*100</f>
        <v>3.4998674167658665E-2</v>
      </c>
      <c r="H71" s="62">
        <f>SUM(C71:G71)</f>
        <v>1</v>
      </c>
    </row>
    <row r="72" spans="1:8" ht="14.1" hidden="1" customHeight="1" x14ac:dyDescent="0.2">
      <c r="A72" s="13">
        <f t="shared" si="6"/>
        <v>2010</v>
      </c>
      <c r="B72" s="14" t="s">
        <v>14</v>
      </c>
      <c r="C72" s="67">
        <f>(Indeks!C72/Indeks!$C$40*Indeks!$C$2)/Indeks!H72*100</f>
        <v>0.7091347603705922</v>
      </c>
      <c r="D72" s="67">
        <f>(Indeks!D72/Indeks!$D$40*Indeks!$D$2)/Indeks!H72*100</f>
        <v>6.5432105014840272E-2</v>
      </c>
      <c r="E72" s="67">
        <f>(Indeks!E72/Indeks!$E$40*Indeks!$E$2)/Indeks!H72*100</f>
        <v>9.1155938463911373E-2</v>
      </c>
      <c r="F72" s="67">
        <f>(Indeks!F72/Indeks!$F$40*Indeks!$F$2)/Indeks!H72*100</f>
        <v>9.8903683669816084E-2</v>
      </c>
      <c r="G72" s="67">
        <f>(Indeks!G72/Indeks!$G$40*Indeks!$G$2)/Indeks!H72*100</f>
        <v>3.5373512480840266E-2</v>
      </c>
      <c r="H72" s="67">
        <f>SUM(C72:G72)</f>
        <v>1.0000000000000002</v>
      </c>
    </row>
    <row r="73" spans="1:8" ht="14.1" hidden="1" customHeight="1" x14ac:dyDescent="0.2">
      <c r="A73" s="11">
        <f t="shared" si="6"/>
        <v>2010</v>
      </c>
      <c r="B73" t="s">
        <v>15</v>
      </c>
      <c r="C73" s="62">
        <f>(Indeks!C73/Indeks!$C$40*Indeks!$C$2)/Indeks!H73*100</f>
        <v>0.71182454061760325</v>
      </c>
      <c r="D73" s="62">
        <f>(Indeks!D73/Indeks!$D$40*Indeks!$D$2)/Indeks!H73*100</f>
        <v>6.5624865544415031E-2</v>
      </c>
      <c r="E73" s="62">
        <f>(Indeks!E73/Indeks!$E$40*Indeks!$E$2)/Indeks!H73*100</f>
        <v>9.1723497549859284E-2</v>
      </c>
      <c r="F73" s="62">
        <f>(Indeks!F73/Indeks!$F$40*Indeks!$F$2)/Indeks!H73*100</f>
        <v>9.8305851558584845E-2</v>
      </c>
      <c r="G73" s="62">
        <f>(Indeks!G73/Indeks!$G$40*Indeks!$G$2)/Indeks!H73*100</f>
        <v>3.2521244729537629E-2</v>
      </c>
      <c r="H73" s="62">
        <f>SUM(C73:G73)</f>
        <v>1</v>
      </c>
    </row>
    <row r="74" spans="1:8" ht="14.1" hidden="1" customHeight="1" x14ac:dyDescent="0.2">
      <c r="A74" s="11">
        <f t="shared" si="6"/>
        <v>2010</v>
      </c>
      <c r="B74" t="s">
        <v>16</v>
      </c>
      <c r="C74" s="62">
        <f>(Indeks!C74/Indeks!$C$40*Indeks!$C$2)/Indeks!H74*100</f>
        <v>0.7104795175620584</v>
      </c>
      <c r="D74" s="62">
        <f>(Indeks!D74/Indeks!$D$40*Indeks!$D$2)/Indeks!H74*100</f>
        <v>6.5570251050213246E-2</v>
      </c>
      <c r="E74" s="62">
        <f>(Indeks!E74/Indeks!$E$40*Indeks!$E$2)/Indeks!H74*100</f>
        <v>9.1923247186584692E-2</v>
      </c>
      <c r="F74" s="62">
        <f>(Indeks!F74/Indeks!$F$40*Indeks!$F$2)/Indeks!H74*100</f>
        <v>9.8021485263758562E-2</v>
      </c>
      <c r="G74" s="62">
        <f>(Indeks!G74/Indeks!$G$40*Indeks!$G$2)/Indeks!H74*100</f>
        <v>3.4005498937385241E-2</v>
      </c>
      <c r="H74" s="62">
        <f>SUM(C74:G74)</f>
        <v>1</v>
      </c>
    </row>
    <row r="75" spans="1:8" ht="14.1" hidden="1" customHeight="1" thickBot="1" x14ac:dyDescent="0.25">
      <c r="A75" s="31">
        <f t="shared" si="6"/>
        <v>2010</v>
      </c>
      <c r="B75" s="32" t="s">
        <v>17</v>
      </c>
      <c r="C75" s="65">
        <f>(Indeks!C75/Indeks!$C$40*Indeks!$C$2)/Indeks!H75*100</f>
        <v>0.70709135593056471</v>
      </c>
      <c r="D75" s="65">
        <f>(Indeks!D75/Indeks!$D$40*Indeks!$D$2)/Indeks!H75*100</f>
        <v>6.4774167841399513E-2</v>
      </c>
      <c r="E75" s="65">
        <f>(Indeks!E75/Indeks!$E$40*Indeks!$E$2)/Indeks!H75*100</f>
        <v>9.1410622916079529E-2</v>
      </c>
      <c r="F75" s="65">
        <f>(Indeks!F75/Indeks!$F$40*Indeks!$F$2)/Indeks!H75*100</f>
        <v>9.6867036434046469E-2</v>
      </c>
      <c r="G75" s="65">
        <f>(Indeks!G75/Indeks!$G$40*Indeks!$G$2)/Indeks!H75*100</f>
        <v>3.9856816877909887E-2</v>
      </c>
      <c r="H75" s="65">
        <f>SUM(C75:G75)</f>
        <v>1.0000000000000002</v>
      </c>
    </row>
    <row r="76" spans="1:8" ht="14.1" hidden="1" customHeight="1" x14ac:dyDescent="0.2">
      <c r="A76" s="49">
        <v>2011</v>
      </c>
      <c r="B76" s="50" t="s">
        <v>7</v>
      </c>
      <c r="C76" s="51">
        <f>(Indeks!C76/Indeks!$C$40*Indeks!$C$2)/Indeks!H76*100</f>
        <v>0.71001743683542129</v>
      </c>
      <c r="D76" s="51">
        <f>(Indeks!D76/Indeks!$D$40*Indeks!$D$2)/Indeks!H76*100</f>
        <v>6.4551947927534159E-2</v>
      </c>
      <c r="E76" s="51">
        <f>(Indeks!E76/Indeks!$E$40*Indeks!$E$2)/Indeks!H76*100</f>
        <v>9.1171024109165513E-2</v>
      </c>
      <c r="F76" s="51">
        <f>(Indeks!F76/Indeks!$F$40*Indeks!$F$2)/Indeks!H76*100</f>
        <v>9.5654460155728496E-2</v>
      </c>
      <c r="G76" s="51">
        <f>(Indeks!G76/Indeks!$G$40*Indeks!$G$2)/Indeks!H76*100</f>
        <v>3.8605130972150584E-2</v>
      </c>
      <c r="H76" s="51">
        <f t="shared" ref="H76:H82" si="7">SUM(C76:G76)</f>
        <v>1.0000000000000002</v>
      </c>
    </row>
    <row r="77" spans="1:8" ht="14.1" hidden="1" customHeight="1" x14ac:dyDescent="0.2">
      <c r="A77" s="11">
        <f>A76</f>
        <v>2011</v>
      </c>
      <c r="B77" t="s">
        <v>8</v>
      </c>
      <c r="C77" s="62">
        <f>(Indeks!C77/Indeks!$C$40*Indeks!$C$2)/Indeks!H77*100</f>
        <v>0.71067604058354139</v>
      </c>
      <c r="D77" s="62">
        <f>(Indeks!D77/Indeks!$D$40*Indeks!$D$2)/Indeks!H77*100</f>
        <v>6.447406046189022E-2</v>
      </c>
      <c r="E77" s="62">
        <f>(Indeks!E77/Indeks!$E$40*Indeks!$E$2)/Indeks!H77*100</f>
        <v>9.1329664367569688E-2</v>
      </c>
      <c r="F77" s="62">
        <f>(Indeks!F77/Indeks!$F$40*Indeks!$F$2)/Indeks!H77*100</f>
        <v>9.6134775779150056E-2</v>
      </c>
      <c r="G77" s="62">
        <f>(Indeks!G77/Indeks!$G$40*Indeks!$G$2)/Indeks!H77*100</f>
        <v>3.7385458807848743E-2</v>
      </c>
      <c r="H77" s="62">
        <f t="shared" si="7"/>
        <v>1.0000000000000002</v>
      </c>
    </row>
    <row r="78" spans="1:8" ht="14.1" hidden="1" customHeight="1" x14ac:dyDescent="0.2">
      <c r="A78" s="13">
        <f t="shared" ref="A78:A87" si="8">A77</f>
        <v>2011</v>
      </c>
      <c r="B78" s="14" t="s">
        <v>9</v>
      </c>
      <c r="C78" s="63">
        <f>(Indeks!C78/Indeks!$C$40*Indeks!$C$2)/Indeks!H78*100</f>
        <v>0.70436747152434775</v>
      </c>
      <c r="D78" s="63">
        <f>(Indeks!D78/Indeks!$D$40*Indeks!$D$2)/Indeks!H78*100</f>
        <v>6.8748980373054672E-2</v>
      </c>
      <c r="E78" s="63">
        <f>(Indeks!E78/Indeks!$E$40*Indeks!$E$2)/Indeks!H78*100</f>
        <v>9.0592357644706981E-2</v>
      </c>
      <c r="F78" s="63">
        <f>(Indeks!F78/Indeks!$F$40*Indeks!$F$2)/Indeks!H78*100</f>
        <v>9.6057624420679624E-2</v>
      </c>
      <c r="G78" s="63">
        <f>(Indeks!G78/Indeks!$G$40*Indeks!$G$2)/Indeks!H78*100</f>
        <v>4.0233566037211024E-2</v>
      </c>
      <c r="H78" s="63">
        <f t="shared" si="7"/>
        <v>1</v>
      </c>
    </row>
    <row r="79" spans="1:8" ht="14.1" hidden="1" customHeight="1" x14ac:dyDescent="0.2">
      <c r="A79" s="18">
        <f t="shared" si="8"/>
        <v>2011</v>
      </c>
      <c r="B79" s="19" t="s">
        <v>10</v>
      </c>
      <c r="C79" s="64">
        <f>(Indeks!C79/Indeks!$C$40*Indeks!$C$2)/Indeks!H79*100</f>
        <v>0.70414502471017959</v>
      </c>
      <c r="D79" s="64">
        <f>(Indeks!D79/Indeks!$D$40*Indeks!$D$2)/Indeks!H79*100</f>
        <v>6.8497795355243779E-2</v>
      </c>
      <c r="E79" s="64">
        <f>(Indeks!E79/Indeks!$E$40*Indeks!$E$2)/Indeks!H79*100</f>
        <v>9.1358544755701196E-2</v>
      </c>
      <c r="F79" s="64">
        <f>(Indeks!F79/Indeks!$F$40*Indeks!$F$2)/Indeks!H79*100</f>
        <v>9.5223296069002941E-2</v>
      </c>
      <c r="G79" s="64">
        <f>(Indeks!G79/Indeks!$G$40*Indeks!$G$2)/Indeks!H79*100</f>
        <v>4.0775339109872376E-2</v>
      </c>
      <c r="H79" s="64">
        <f t="shared" si="7"/>
        <v>0.99999999999999989</v>
      </c>
    </row>
    <row r="80" spans="1:8" ht="14.1" hidden="1" customHeight="1" x14ac:dyDescent="0.2">
      <c r="A80" s="11">
        <f t="shared" si="8"/>
        <v>2011</v>
      </c>
      <c r="B80" t="s">
        <v>11</v>
      </c>
      <c r="C80" s="62">
        <f>(Indeks!C80/Indeks!$C$40*Indeks!$C$2)/Indeks!H80*100</f>
        <v>0.70291125333169191</v>
      </c>
      <c r="D80" s="62">
        <f>(Indeks!D80/Indeks!$D$40*Indeks!$D$2)/Indeks!H80*100</f>
        <v>6.8106166748286429E-2</v>
      </c>
      <c r="E80" s="62">
        <f>(Indeks!E80/Indeks!$E$40*Indeks!$E$2)/Indeks!H80*100</f>
        <v>9.1709590735432597E-2</v>
      </c>
      <c r="F80" s="62">
        <f>(Indeks!F80/Indeks!$F$40*Indeks!$F$2)/Indeks!H80*100</f>
        <v>9.5056450074026896E-2</v>
      </c>
      <c r="G80" s="62">
        <f>(Indeks!G80/Indeks!$G$40*Indeks!$G$2)/Indeks!H80*100</f>
        <v>4.2216539110562078E-2</v>
      </c>
      <c r="H80" s="62">
        <f t="shared" si="7"/>
        <v>0.99999999999999989</v>
      </c>
    </row>
    <row r="81" spans="1:8" ht="14.1" hidden="1" customHeight="1" x14ac:dyDescent="0.2">
      <c r="A81" s="13">
        <f t="shared" si="8"/>
        <v>2011</v>
      </c>
      <c r="B81" s="14" t="s">
        <v>12</v>
      </c>
      <c r="C81" s="63">
        <f>(Indeks!C81/Indeks!$C$40*Indeks!$C$2)/Indeks!H81*100</f>
        <v>0.70304243744269679</v>
      </c>
      <c r="D81" s="63">
        <f>(Indeks!D81/Indeks!$D$40*Indeks!$D$2)/Indeks!H81*100</f>
        <v>6.9205519493002812E-2</v>
      </c>
      <c r="E81" s="63">
        <f>(Indeks!E81/Indeks!$E$40*Indeks!$E$2)/Indeks!H81*100</f>
        <v>9.2091860554401647E-2</v>
      </c>
      <c r="F81" s="63">
        <f>(Indeks!F81/Indeks!$F$40*Indeks!$F$2)/Indeks!H81*100</f>
        <v>9.4398536284878043E-2</v>
      </c>
      <c r="G81" s="63">
        <f>(Indeks!G81/Indeks!$G$40*Indeks!$G$2)/Indeks!H81*100</f>
        <v>4.1261646225020661E-2</v>
      </c>
      <c r="H81" s="63">
        <f t="shared" si="7"/>
        <v>1</v>
      </c>
    </row>
    <row r="82" spans="1:8" ht="14.1" hidden="1" customHeight="1" x14ac:dyDescent="0.2">
      <c r="A82" s="18">
        <f t="shared" si="8"/>
        <v>2011</v>
      </c>
      <c r="B82" s="23" t="s">
        <v>30</v>
      </c>
      <c r="C82" s="64">
        <f>(Indeks!C82/Indeks!$C$40*Indeks!$C$2)/Indeks!H82*100</f>
        <v>0.70597622790181214</v>
      </c>
      <c r="D82" s="64">
        <f>(Indeks!D82/Indeks!$D$40*Indeks!$D$2)/Indeks!H82*100</f>
        <v>6.9147996394149897E-2</v>
      </c>
      <c r="E82" s="64">
        <f>(Indeks!E82/Indeks!$E$40*Indeks!$E$2)/Indeks!H82*100</f>
        <v>9.2161254732971917E-2</v>
      </c>
      <c r="F82" s="64">
        <f>(Indeks!F82/Indeks!$F$40*Indeks!$F$2)/Indeks!H82*100</f>
        <v>9.3548538604020071E-2</v>
      </c>
      <c r="G82" s="64">
        <f>(Indeks!G82/Indeks!$G$40*Indeks!$G$2)/Indeks!H82*100</f>
        <v>3.9165982367045861E-2</v>
      </c>
      <c r="H82" s="64">
        <f t="shared" si="7"/>
        <v>0.99999999999999978</v>
      </c>
    </row>
    <row r="83" spans="1:8" ht="14.1" hidden="1" customHeight="1" x14ac:dyDescent="0.2">
      <c r="A83" s="11">
        <f t="shared" si="8"/>
        <v>2011</v>
      </c>
      <c r="B83" t="s">
        <v>13</v>
      </c>
      <c r="C83" s="62">
        <f>(Indeks!C83/Indeks!$C$40*Indeks!$C$2)/Indeks!H83*100</f>
        <v>0.7058108240558576</v>
      </c>
      <c r="D83" s="62">
        <f>(Indeks!D83/Indeks!$D$40*Indeks!$D$2)/Indeks!H83*100</f>
        <v>6.9131795643909866E-2</v>
      </c>
      <c r="E83" s="62">
        <f>(Indeks!E83/Indeks!$E$40*Indeks!$E$2)/Indeks!H83*100</f>
        <v>9.1920803129345391E-2</v>
      </c>
      <c r="F83" s="62">
        <f>(Indeks!F83/Indeks!$F$40*Indeks!$F$2)/Indeks!H83*100</f>
        <v>9.3430201830462342E-2</v>
      </c>
      <c r="G83" s="62">
        <f>(Indeks!G83/Indeks!$G$40*Indeks!$G$2)/Indeks!H83*100</f>
        <v>3.9706375340424788E-2</v>
      </c>
      <c r="H83" s="62">
        <f>SUM(C83:G83)</f>
        <v>1</v>
      </c>
    </row>
    <row r="84" spans="1:8" ht="14.1" hidden="1" customHeight="1" x14ac:dyDescent="0.2">
      <c r="A84" s="13">
        <f t="shared" si="8"/>
        <v>2011</v>
      </c>
      <c r="B84" s="14" t="s">
        <v>14</v>
      </c>
      <c r="C84" s="67">
        <f>(Indeks!C84/Indeks!$C$40*Indeks!$C$2)/Indeks!H84*100</f>
        <v>0.70728956012146604</v>
      </c>
      <c r="D84" s="67">
        <f>(Indeks!D84/Indeks!$D$40*Indeks!$D$2)/Indeks!H84*100</f>
        <v>7.0160436818771654E-2</v>
      </c>
      <c r="E84" s="67">
        <f>(Indeks!E84/Indeks!$E$40*Indeks!$E$2)/Indeks!H84*100</f>
        <v>9.2040279475740144E-2</v>
      </c>
      <c r="F84" s="67">
        <f>(Indeks!F84/Indeks!$F$40*Indeks!$F$2)/Indeks!H84*100</f>
        <v>9.3336082750908225E-2</v>
      </c>
      <c r="G84" s="67">
        <f>(Indeks!G84/Indeks!$G$40*Indeks!$G$2)/Indeks!H84*100</f>
        <v>3.7173640833113995E-2</v>
      </c>
      <c r="H84" s="67">
        <f>SUM(C84:G84)</f>
        <v>1</v>
      </c>
    </row>
    <row r="85" spans="1:8" ht="14.1" hidden="1" customHeight="1" x14ac:dyDescent="0.2">
      <c r="A85" s="11">
        <f t="shared" si="8"/>
        <v>2011</v>
      </c>
      <c r="B85" t="s">
        <v>15</v>
      </c>
      <c r="C85" s="110">
        <f>(Indeks!C85/Indeks!$C$40*Indeks!$C$2)/Indeks!H85*100</f>
        <v>0.71059052614500062</v>
      </c>
      <c r="D85" s="110">
        <f>(Indeks!D85/Indeks!$D$40*Indeks!$D$2)/Indeks!H85*100</f>
        <v>7.0254476528851209E-2</v>
      </c>
      <c r="E85" s="110">
        <f>(Indeks!E85/Indeks!$E$40*Indeks!$E$2)/Indeks!H85*100</f>
        <v>9.2163645885500342E-2</v>
      </c>
      <c r="F85" s="110">
        <f>(Indeks!F85/Indeks!$F$40*Indeks!$F$2)/Indeks!H85*100</f>
        <v>9.404169025453249E-2</v>
      </c>
      <c r="G85" s="110">
        <f>(Indeks!G85/Indeks!$G$40*Indeks!$G$2)/Indeks!H85*100</f>
        <v>3.2949661186115572E-2</v>
      </c>
      <c r="H85" s="110">
        <f>SUM(C85:G85)</f>
        <v>1.0000000000000002</v>
      </c>
    </row>
    <row r="86" spans="1:8" ht="14.1" hidden="1" customHeight="1" x14ac:dyDescent="0.2">
      <c r="A86" s="11">
        <f t="shared" si="8"/>
        <v>2011</v>
      </c>
      <c r="B86" t="s">
        <v>16</v>
      </c>
      <c r="C86" s="62">
        <f>(Indeks!C86/Indeks!$C$40*Indeks!$C$2)/Indeks!H86*100</f>
        <v>0.7125534188217072</v>
      </c>
      <c r="D86" s="62">
        <f>(Indeks!D86/Indeks!$D$40*Indeks!$D$2)/Indeks!H86*100</f>
        <v>7.044854328376908E-2</v>
      </c>
      <c r="E86" s="62">
        <f>(Indeks!E86/Indeks!$E$40*Indeks!$E$2)/Indeks!H86*100</f>
        <v>9.2711857468296938E-2</v>
      </c>
      <c r="F86" s="62">
        <f>(Indeks!F86/Indeks!$F$40*Indeks!$F$2)/Indeks!H86*100</f>
        <v>9.4010411477340641E-2</v>
      </c>
      <c r="G86" s="62">
        <f>(Indeks!G86/Indeks!$G$40*Indeks!$G$2)/Indeks!H86*100</f>
        <v>3.0275768948886131E-2</v>
      </c>
      <c r="H86" s="62">
        <f>SUM(C86:G86)</f>
        <v>1</v>
      </c>
    </row>
    <row r="87" spans="1:8" ht="14.1" hidden="1" customHeight="1" thickBot="1" x14ac:dyDescent="0.25">
      <c r="A87" s="31">
        <f t="shared" si="8"/>
        <v>2011</v>
      </c>
      <c r="B87" s="32" t="s">
        <v>17</v>
      </c>
      <c r="C87" s="65">
        <f>(Indeks!C87/Indeks!$C$40*Indeks!$C$2)/Indeks!H87*100</f>
        <v>0.70810218289120208</v>
      </c>
      <c r="D87" s="65">
        <f>(Indeks!D87/Indeks!$D$40*Indeks!$D$2)/Indeks!H87*100</f>
        <v>7.0144134974435154E-2</v>
      </c>
      <c r="E87" s="65">
        <f>(Indeks!E87/Indeks!$E$40*Indeks!$E$2)/Indeks!H87*100</f>
        <v>9.2278592598310505E-2</v>
      </c>
      <c r="F87" s="65">
        <f>(Indeks!F87/Indeks!$F$40*Indeks!$F$2)/Indeks!H87*100</f>
        <v>9.4580082594157872E-2</v>
      </c>
      <c r="G87" s="65">
        <f>(Indeks!G87/Indeks!$G$40*Indeks!$G$2)/Indeks!H87*100</f>
        <v>3.4895006941894471E-2</v>
      </c>
      <c r="H87" s="65">
        <f>SUM(C87:G87)</f>
        <v>1</v>
      </c>
    </row>
    <row r="88" spans="1:8" ht="15" hidden="1" customHeight="1" x14ac:dyDescent="0.2">
      <c r="A88" s="49">
        <v>2012</v>
      </c>
      <c r="B88" s="50" t="s">
        <v>7</v>
      </c>
      <c r="C88" s="51">
        <f>(Indeks!C88/Indeks!$C$40*Indeks!$C$2)/Indeks!H88*100</f>
        <v>0.71237444196029487</v>
      </c>
      <c r="D88" s="51">
        <f>(Indeks!D88/Indeks!$D$40*Indeks!$D$2)/Indeks!H88*100</f>
        <v>7.0276462739881571E-2</v>
      </c>
      <c r="E88" s="51">
        <f>(Indeks!E88/Indeks!$E$40*Indeks!$E$2)/Indeks!H88*100</f>
        <v>9.23795921674221E-2</v>
      </c>
      <c r="F88" s="51">
        <f>(Indeks!F88/Indeks!$F$40*Indeks!$F$2)/Indeks!H88*100</f>
        <v>9.4275540117061796E-2</v>
      </c>
      <c r="G88" s="51">
        <f>(Indeks!G88/Indeks!$G$40*Indeks!$G$2)/Indeks!H88*100</f>
        <v>3.0693963015339693E-2</v>
      </c>
      <c r="H88" s="51">
        <f t="shared" ref="H88:H94" si="9">SUM(C88:G88)</f>
        <v>0.99999999999999989</v>
      </c>
    </row>
    <row r="89" spans="1:8" ht="15" hidden="1" customHeight="1" x14ac:dyDescent="0.2">
      <c r="A89" s="11">
        <f>A88</f>
        <v>2012</v>
      </c>
      <c r="B89" t="s">
        <v>8</v>
      </c>
      <c r="C89" s="62">
        <f>(Indeks!C89/Indeks!$C$40*Indeks!$C$2)/Indeks!H89*100</f>
        <v>0.71543573616748779</v>
      </c>
      <c r="D89" s="62">
        <f>(Indeks!D89/Indeks!$D$40*Indeks!$D$2)/Indeks!H89*100</f>
        <v>7.0578462524848048E-2</v>
      </c>
      <c r="E89" s="62">
        <f>(Indeks!E89/Indeks!$E$40*Indeks!$E$2)/Indeks!H89*100</f>
        <v>9.2776575963734023E-2</v>
      </c>
      <c r="F89" s="62">
        <f>(Indeks!F89/Indeks!$F$40*Indeks!$F$2)/Indeks!H89*100</f>
        <v>9.535973358285578E-2</v>
      </c>
      <c r="G89" s="62">
        <f>(Indeks!G89/Indeks!$G$40*Indeks!$G$2)/Indeks!H89*100</f>
        <v>2.5849491761074418E-2</v>
      </c>
      <c r="H89" s="62">
        <f t="shared" si="9"/>
        <v>1</v>
      </c>
    </row>
    <row r="90" spans="1:8" ht="15" hidden="1" customHeight="1" x14ac:dyDescent="0.2">
      <c r="A90" s="13">
        <f t="shared" ref="A90:A99" si="10">A89</f>
        <v>2012</v>
      </c>
      <c r="B90" s="14" t="s">
        <v>9</v>
      </c>
      <c r="C90" s="63">
        <f>(Indeks!C90/Indeks!$C$40*Indeks!$C$2)/Indeks!H90*100</f>
        <v>0.71303416942362474</v>
      </c>
      <c r="D90" s="63">
        <f>(Indeks!D90/Indeks!$D$40*Indeks!$D$2)/Indeks!H90*100</f>
        <v>7.1157888412771056E-2</v>
      </c>
      <c r="E90" s="63">
        <f>(Indeks!E90/Indeks!$E$40*Indeks!$E$2)/Indeks!H90*100</f>
        <v>9.2757755799610112E-2</v>
      </c>
      <c r="F90" s="63">
        <f>(Indeks!F90/Indeks!$F$40*Indeks!$F$2)/Indeks!H90*100</f>
        <v>9.5909780303315331E-2</v>
      </c>
      <c r="G90" s="63">
        <f>(Indeks!G90/Indeks!$G$40*Indeks!$G$2)/Indeks!H90*100</f>
        <v>2.7140406060678714E-2</v>
      </c>
      <c r="H90" s="63">
        <f t="shared" si="9"/>
        <v>0.99999999999999989</v>
      </c>
    </row>
    <row r="91" spans="1:8" hidden="1" x14ac:dyDescent="0.2">
      <c r="A91" s="18">
        <f t="shared" si="10"/>
        <v>2012</v>
      </c>
      <c r="B91" s="19" t="s">
        <v>10</v>
      </c>
      <c r="C91" s="64">
        <f>(Indeks!C91/Indeks!$C$40*Indeks!$C$2)/Indeks!H91*100</f>
        <v>0.71277363623505441</v>
      </c>
      <c r="D91" s="64">
        <f>(Indeks!D91/Indeks!$D$40*Indeks!$D$2)/Indeks!H91*100</f>
        <v>7.0665831670111243E-2</v>
      </c>
      <c r="E91" s="64">
        <f>(Indeks!E91/Indeks!$E$40*Indeks!$E$2)/Indeks!H91*100</f>
        <v>9.3278687233669527E-2</v>
      </c>
      <c r="F91" s="64">
        <f>(Indeks!F91/Indeks!$F$40*Indeks!$F$2)/Indeks!H91*100</f>
        <v>9.5918667019520953E-2</v>
      </c>
      <c r="G91" s="64">
        <f>(Indeks!G91/Indeks!$G$40*Indeks!$G$2)/Indeks!H91*100</f>
        <v>2.7363177841643903E-2</v>
      </c>
      <c r="H91" s="64">
        <f t="shared" si="9"/>
        <v>1</v>
      </c>
    </row>
    <row r="92" spans="1:8" hidden="1" x14ac:dyDescent="0.2">
      <c r="A92" s="11">
        <f t="shared" si="10"/>
        <v>2012</v>
      </c>
      <c r="B92" t="s">
        <v>11</v>
      </c>
      <c r="C92" s="62">
        <f>(Indeks!C92/Indeks!$C$40*Indeks!$C$2)/Indeks!H92*100</f>
        <v>0.71345934322942794</v>
      </c>
      <c r="D92" s="62">
        <f>(Indeks!D92/Indeks!$D$40*Indeks!$D$2)/Indeks!H92*100</f>
        <v>7.0733814059717223E-2</v>
      </c>
      <c r="E92" s="62">
        <f>(Indeks!E92/Indeks!$E$40*Indeks!$E$2)/Indeks!H92*100</f>
        <v>9.3804724831100736E-2</v>
      </c>
      <c r="F92" s="62">
        <f>(Indeks!F92/Indeks!$F$40*Indeks!$F$2)/Indeks!H92*100</f>
        <v>9.5434300999140395E-2</v>
      </c>
      <c r="G92" s="62">
        <f>(Indeks!G92/Indeks!$G$40*Indeks!$G$2)/Indeks!H92*100</f>
        <v>2.6567816880613875E-2</v>
      </c>
      <c r="H92" s="62">
        <f t="shared" si="9"/>
        <v>1.0000000000000002</v>
      </c>
    </row>
    <row r="93" spans="1:8" hidden="1" x14ac:dyDescent="0.2">
      <c r="A93" s="13">
        <f t="shared" si="10"/>
        <v>2012</v>
      </c>
      <c r="B93" s="14" t="s">
        <v>12</v>
      </c>
      <c r="C93" s="63">
        <f>(Indeks!C93/Indeks!$C$40*Indeks!$C$2)/Indeks!H93*100</f>
        <v>0.71642531152245315</v>
      </c>
      <c r="D93" s="63">
        <f>(Indeks!D93/Indeks!$D$40*Indeks!$D$2)/Indeks!H93*100</f>
        <v>6.81758868726874E-2</v>
      </c>
      <c r="E93" s="63">
        <f>(Indeks!E93/Indeks!$E$40*Indeks!$E$2)/Indeks!H93*100</f>
        <v>9.4194686560840873E-2</v>
      </c>
      <c r="F93" s="63">
        <f>(Indeks!F93/Indeks!$F$40*Indeks!$F$2)/Indeks!H93*100</f>
        <v>9.6313570062222797E-2</v>
      </c>
      <c r="G93" s="63">
        <f>(Indeks!G93/Indeks!$G$40*Indeks!$G$2)/Indeks!H93*100</f>
        <v>2.4890544981795892E-2</v>
      </c>
      <c r="H93" s="63">
        <f t="shared" si="9"/>
        <v>1.0000000000000002</v>
      </c>
    </row>
    <row r="94" spans="1:8" hidden="1" x14ac:dyDescent="0.2">
      <c r="A94" s="18">
        <f t="shared" si="10"/>
        <v>2012</v>
      </c>
      <c r="B94" s="23" t="s">
        <v>30</v>
      </c>
      <c r="C94" s="64">
        <f>(Indeks!C94/Indeks!$C$40*Indeks!$C$2)/Indeks!H94*100</f>
        <v>0.72005911960333124</v>
      </c>
      <c r="D94" s="64">
        <f>(Indeks!D94/Indeks!$D$40*Indeks!$D$2)/Indeks!H94*100</f>
        <v>6.8242232162270433E-2</v>
      </c>
      <c r="E94" s="64">
        <f>(Indeks!E94/Indeks!$E$40*Indeks!$E$2)/Indeks!H94*100</f>
        <v>9.4286352016821409E-2</v>
      </c>
      <c r="F94" s="64">
        <f>(Indeks!F94/Indeks!$F$40*Indeks!$F$2)/Indeks!H94*100</f>
        <v>9.6214096510351468E-2</v>
      </c>
      <c r="G94" s="64">
        <f>(Indeks!G94/Indeks!$G$40*Indeks!$G$2)/Indeks!H94*100</f>
        <v>2.1198199707225609E-2</v>
      </c>
      <c r="H94" s="64">
        <f t="shared" si="9"/>
        <v>1.0000000000000002</v>
      </c>
    </row>
    <row r="95" spans="1:8" hidden="1" x14ac:dyDescent="0.2">
      <c r="A95" s="11">
        <f t="shared" si="10"/>
        <v>2012</v>
      </c>
      <c r="B95" t="s">
        <v>13</v>
      </c>
      <c r="C95" s="62">
        <f>(Indeks!C95/Indeks!$C$40*Indeks!$C$2)/Indeks!H95*100</f>
        <v>0.71820418989622137</v>
      </c>
      <c r="D95" s="62">
        <f>(Indeks!D95/Indeks!$D$40*Indeks!$D$2)/Indeks!H95*100</f>
        <v>6.8066434730822009E-2</v>
      </c>
      <c r="E95" s="62">
        <f>(Indeks!E95/Indeks!$E$40*Indeks!$E$2)/Indeks!H95*100</f>
        <v>9.389765903757874E-2</v>
      </c>
      <c r="F95" s="62">
        <f>(Indeks!F95/Indeks!$F$40*Indeks!$F$2)/Indeks!H95*100</f>
        <v>9.7315164396810025E-2</v>
      </c>
      <c r="G95" s="62">
        <f>(Indeks!G95/Indeks!$G$40*Indeks!$G$2)/Indeks!H95*100</f>
        <v>2.2516551938568049E-2</v>
      </c>
      <c r="H95" s="62">
        <f>SUM(C95:G95)</f>
        <v>1</v>
      </c>
    </row>
    <row r="96" spans="1:8" hidden="1" x14ac:dyDescent="0.2">
      <c r="A96" s="13">
        <f t="shared" si="10"/>
        <v>2012</v>
      </c>
      <c r="B96" s="14" t="s">
        <v>14</v>
      </c>
      <c r="C96" s="67">
        <f>(Indeks!C96/Indeks!$C$40*Indeks!$C$2)/Indeks!H96*100</f>
        <v>0.71932982977125148</v>
      </c>
      <c r="D96" s="67">
        <f>(Indeks!D96/Indeks!$D$40*Indeks!$D$2)/Indeks!H96*100</f>
        <v>6.9259539252037289E-2</v>
      </c>
      <c r="E96" s="67">
        <f>(Indeks!E96/Indeks!$E$40*Indeks!$E$2)/Indeks!H96*100</f>
        <v>9.4044824635707527E-2</v>
      </c>
      <c r="F96" s="67">
        <f>(Indeks!F96/Indeks!$F$40*Indeks!$F$2)/Indeks!H96*100</f>
        <v>9.7564188903351487E-2</v>
      </c>
      <c r="G96" s="67">
        <f>(Indeks!G96/Indeks!$G$40*Indeks!$G$2)/Indeks!H96*100</f>
        <v>1.9801617437652394E-2</v>
      </c>
      <c r="H96" s="67">
        <f>SUM(C96:G96)</f>
        <v>1.0000000000000002</v>
      </c>
    </row>
    <row r="97" spans="1:8" hidden="1" x14ac:dyDescent="0.2">
      <c r="A97" s="11">
        <f t="shared" si="10"/>
        <v>2012</v>
      </c>
      <c r="B97" t="s">
        <v>15</v>
      </c>
      <c r="C97" s="62">
        <f>(Indeks!C97/Indeks!$C$40*Indeks!$C$2)/Indeks!H97*100</f>
        <v>0.7187667016301027</v>
      </c>
      <c r="D97" s="62">
        <f>(Indeks!D97/Indeks!$D$40*Indeks!$D$2)/Indeks!H97*100</f>
        <v>6.9092607099763809E-2</v>
      </c>
      <c r="E97" s="62">
        <f>(Indeks!E97/Indeks!$E$40*Indeks!$E$2)/Indeks!H97*100</f>
        <v>9.410951470939255E-2</v>
      </c>
      <c r="F97" s="62">
        <f>(Indeks!F97/Indeks!$F$40*Indeks!$F$2)/Indeks!H97*100</f>
        <v>9.8002926190941392E-2</v>
      </c>
      <c r="G97" s="62">
        <f>(Indeks!G97/Indeks!$G$40*Indeks!$G$2)/Indeks!H97*100</f>
        <v>2.0028250369799584E-2</v>
      </c>
      <c r="H97" s="62">
        <f>SUM(C97:G97)</f>
        <v>1</v>
      </c>
    </row>
    <row r="98" spans="1:8" hidden="1" x14ac:dyDescent="0.2">
      <c r="A98" s="11">
        <f t="shared" si="10"/>
        <v>2012</v>
      </c>
      <c r="B98" t="s">
        <v>16</v>
      </c>
      <c r="C98" s="62">
        <f>(Indeks!C98/Indeks!$C$40*Indeks!$C$2)/Indeks!H98*100</f>
        <v>0.71809823930239314</v>
      </c>
      <c r="D98" s="62">
        <f>(Indeks!D98/Indeks!$D$40*Indeks!$D$2)/Indeks!H98*100</f>
        <v>6.9028350081645568E-2</v>
      </c>
      <c r="E98" s="62">
        <f>(Indeks!E98/Indeks!$E$40*Indeks!$E$2)/Indeks!H98*100</f>
        <v>9.4240308961733202E-2</v>
      </c>
      <c r="F98" s="62">
        <f>(Indeks!F98/Indeks!$F$40*Indeks!$F$2)/Indeks!H98*100</f>
        <v>9.7527060071735519E-2</v>
      </c>
      <c r="G98" s="62">
        <f>(Indeks!G98/Indeks!$G$40*Indeks!$G$2)/Indeks!H98*100</f>
        <v>2.1106041582492543E-2</v>
      </c>
      <c r="H98" s="62">
        <f>SUM(C98:G98)</f>
        <v>0.99999999999999989</v>
      </c>
    </row>
    <row r="99" spans="1:8" hidden="1" x14ac:dyDescent="0.2">
      <c r="A99" s="11">
        <f t="shared" si="10"/>
        <v>2012</v>
      </c>
      <c r="B99" t="s">
        <v>17</v>
      </c>
      <c r="C99" s="62">
        <f>(Indeks!C99/Indeks!$C$40*Indeks!$C$2)/Indeks!H99*100</f>
        <v>0.71749319049529037</v>
      </c>
      <c r="D99" s="62">
        <f>(Indeks!D99/Indeks!$D$40*Indeks!$D$2)/Indeks!H99*100</f>
        <v>6.897018879035241E-2</v>
      </c>
      <c r="E99" s="62">
        <f>(Indeks!E99/Indeks!$E$40*Indeks!$E$2)/Indeks!H99*100</f>
        <v>9.4088193679685336E-2</v>
      </c>
      <c r="F99" s="62">
        <f>(Indeks!F99/Indeks!$F$40*Indeks!$F$2)/Indeks!H99*100</f>
        <v>9.6579991148542793E-2</v>
      </c>
      <c r="G99" s="62">
        <f>(Indeks!G99/Indeks!$G$40*Indeks!$G$2)/Indeks!H99*100</f>
        <v>2.2868435886129055E-2</v>
      </c>
      <c r="H99" s="62">
        <f>SUM(C99:G99)</f>
        <v>1</v>
      </c>
    </row>
    <row r="100" spans="1:8" hidden="1" x14ac:dyDescent="0.2">
      <c r="A100" s="49">
        <v>2013</v>
      </c>
      <c r="B100" s="50" t="s">
        <v>7</v>
      </c>
      <c r="C100" s="51">
        <f>(Indeks!C100/Indeks!$C$40*Indeks!$C$2)/Indeks!H100*100</f>
        <v>0.722236592657714</v>
      </c>
      <c r="D100" s="51">
        <f>(Indeks!D100/Indeks!$D$40*Indeks!$D$2)/Indeks!H100*100</f>
        <v>6.8564460383590695E-2</v>
      </c>
      <c r="E100" s="51">
        <f>(Indeks!E100/Indeks!$E$40*Indeks!$E$2)/Indeks!H100*100</f>
        <v>9.3462421116009331E-2</v>
      </c>
      <c r="F100" s="51">
        <f>(Indeks!F100/Indeks!$F$40*Indeks!$F$2)/Indeks!H100*100</f>
        <v>9.5725241049265844E-2</v>
      </c>
      <c r="G100" s="51">
        <f>(Indeks!G100/Indeks!$G$40*Indeks!$G$2)/Indeks!H100*100</f>
        <v>2.0011284793420164E-2</v>
      </c>
      <c r="H100" s="51">
        <f t="shared" ref="H100:H106" si="11">SUM(C100:G100)</f>
        <v>1</v>
      </c>
    </row>
    <row r="101" spans="1:8" hidden="1" x14ac:dyDescent="0.2">
      <c r="A101" s="11">
        <f>A100</f>
        <v>2013</v>
      </c>
      <c r="B101" t="s">
        <v>8</v>
      </c>
      <c r="C101" s="62">
        <f>(Indeks!C101/Indeks!$C$40*Indeks!$C$2)/Indeks!H101*100</f>
        <v>0.72361171377658762</v>
      </c>
      <c r="D101" s="62">
        <f>(Indeks!D101/Indeks!$D$40*Indeks!$D$2)/Indeks!H101*100</f>
        <v>6.701130435429821E-2</v>
      </c>
      <c r="E101" s="62">
        <f>(Indeks!E101/Indeks!$E$40*Indeks!$E$2)/Indeks!H101*100</f>
        <v>9.335068726347015E-2</v>
      </c>
      <c r="F101" s="62">
        <f>(Indeks!F101/Indeks!$F$40*Indeks!$F$2)/Indeks!H101*100</f>
        <v>9.6386079945550679E-2</v>
      </c>
      <c r="G101" s="62">
        <f>(Indeks!G101/Indeks!$G$40*Indeks!$G$2)/Indeks!H101*100</f>
        <v>1.9640214660093549E-2</v>
      </c>
      <c r="H101" s="62">
        <f t="shared" si="11"/>
        <v>1.0000000000000002</v>
      </c>
    </row>
    <row r="102" spans="1:8" hidden="1" x14ac:dyDescent="0.2">
      <c r="A102" s="13">
        <f t="shared" ref="A102:A111" si="12">A101</f>
        <v>2013</v>
      </c>
      <c r="B102" s="14" t="s">
        <v>9</v>
      </c>
      <c r="C102" s="63">
        <f>(Indeks!C102/Indeks!$C$40*Indeks!$C$2)/Indeks!H102*100</f>
        <v>0.71967615896427206</v>
      </c>
      <c r="D102" s="63">
        <f>(Indeks!D102/Indeks!$D$40*Indeks!$D$2)/Indeks!H102*100</f>
        <v>7.0196878527077455E-2</v>
      </c>
      <c r="E102" s="63">
        <f>(Indeks!E102/Indeks!$E$40*Indeks!$E$2)/Indeks!H102*100</f>
        <v>9.2482839050038956E-2</v>
      </c>
      <c r="F102" s="63">
        <f>(Indeks!F102/Indeks!$F$40*Indeks!$F$2)/Indeks!H102*100</f>
        <v>9.4719512725460142E-2</v>
      </c>
      <c r="G102" s="63">
        <f>(Indeks!G102/Indeks!$G$40*Indeks!$G$2)/Indeks!H102*100</f>
        <v>2.2924610733151496E-2</v>
      </c>
      <c r="H102" s="63">
        <f t="shared" si="11"/>
        <v>1.0000000000000002</v>
      </c>
    </row>
    <row r="103" spans="1:8" hidden="1" x14ac:dyDescent="0.2">
      <c r="A103" s="18">
        <f t="shared" si="12"/>
        <v>2013</v>
      </c>
      <c r="B103" s="19" t="s">
        <v>10</v>
      </c>
      <c r="C103" s="64">
        <f>(Indeks!C103/Indeks!$C$40*Indeks!$C$2)/Indeks!H103*100</f>
        <v>0.72121126092913401</v>
      </c>
      <c r="D103" s="64">
        <f>(Indeks!D103/Indeks!$D$40*Indeks!$D$2)/Indeks!H103*100</f>
        <v>7.0005399315903397E-2</v>
      </c>
      <c r="E103" s="64">
        <f>(Indeks!E103/Indeks!$E$40*Indeks!$E$2)/Indeks!H103*100</f>
        <v>9.3308029336032577E-2</v>
      </c>
      <c r="F103" s="64">
        <f>(Indeks!F103/Indeks!$F$40*Indeks!$F$2)/Indeks!H103*100</f>
        <v>9.4642410728132328E-2</v>
      </c>
      <c r="G103" s="64">
        <f>(Indeks!G103/Indeks!$G$40*Indeks!$G$2)/Indeks!H103*100</f>
        <v>2.0832899690797792E-2</v>
      </c>
      <c r="H103" s="64">
        <f t="shared" si="11"/>
        <v>1</v>
      </c>
    </row>
    <row r="104" spans="1:8" hidden="1" x14ac:dyDescent="0.2">
      <c r="A104" s="11">
        <f t="shared" si="12"/>
        <v>2013</v>
      </c>
      <c r="B104" t="s">
        <v>11</v>
      </c>
      <c r="C104" s="62">
        <f>(Indeks!C104/Indeks!$C$40*Indeks!$C$2)/Indeks!H104*100</f>
        <v>0.72201336169366959</v>
      </c>
      <c r="D104" s="62">
        <f>(Indeks!D104/Indeks!$D$40*Indeks!$D$2)/Indeks!H104*100</f>
        <v>7.0083256370215855E-2</v>
      </c>
      <c r="E104" s="62">
        <f>(Indeks!E104/Indeks!$E$40*Indeks!$E$2)/Indeks!H104*100</f>
        <v>9.3604934839946807E-2</v>
      </c>
      <c r="F104" s="62">
        <f>(Indeks!F104/Indeks!$F$40*Indeks!$F$2)/Indeks!H104*100</f>
        <v>9.4661239117355869E-2</v>
      </c>
      <c r="G104" s="62">
        <f>(Indeks!G104/Indeks!$G$40*Indeks!$G$2)/Indeks!H104*100</f>
        <v>1.9637207978811862E-2</v>
      </c>
      <c r="H104" s="62">
        <f t="shared" si="11"/>
        <v>1</v>
      </c>
    </row>
    <row r="105" spans="1:8" hidden="1" x14ac:dyDescent="0.2">
      <c r="A105" s="13">
        <f t="shared" si="12"/>
        <v>2013</v>
      </c>
      <c r="B105" s="14" t="s">
        <v>12</v>
      </c>
      <c r="C105" s="63">
        <f>(Indeks!C105/Indeks!$C$40*Indeks!$C$2)/Indeks!H105*100</f>
        <v>0.72513254649852943</v>
      </c>
      <c r="D105" s="63">
        <f>(Indeks!D105/Indeks!$D$40*Indeks!$D$2)/Indeks!H105*100</f>
        <v>6.6960750397934587E-2</v>
      </c>
      <c r="E105" s="63">
        <f>(Indeks!E105/Indeks!$E$40*Indeks!$E$2)/Indeks!H105*100</f>
        <v>9.3887574057675366E-2</v>
      </c>
      <c r="F105" s="63">
        <f>(Indeks!F105/Indeks!$F$40*Indeks!$F$2)/Indeks!H105*100</f>
        <v>9.5929255043085485E-2</v>
      </c>
      <c r="G105" s="63">
        <f>(Indeks!G105/Indeks!$G$40*Indeks!$G$2)/Indeks!H105*100</f>
        <v>1.8089874002775289E-2</v>
      </c>
      <c r="H105" s="63">
        <f t="shared" si="11"/>
        <v>1.0000000000000002</v>
      </c>
    </row>
    <row r="106" spans="1:8" hidden="1" x14ac:dyDescent="0.2">
      <c r="A106" s="18">
        <f t="shared" si="12"/>
        <v>2013</v>
      </c>
      <c r="B106" s="23" t="s">
        <v>30</v>
      </c>
      <c r="C106" s="64">
        <f>(Indeks!C106/Indeks!$C$40*Indeks!$C$2)/Indeks!H106*100</f>
        <v>0.72550739091183503</v>
      </c>
      <c r="D106" s="64">
        <f>(Indeks!D106/Indeks!$D$40*Indeks!$D$2)/Indeks!H106*100</f>
        <v>6.6779424636486132E-2</v>
      </c>
      <c r="E106" s="64">
        <f>(Indeks!E106/Indeks!$E$40*Indeks!$E$2)/Indeks!H106*100</f>
        <v>9.370535768645244E-2</v>
      </c>
      <c r="F106" s="64">
        <f>(Indeks!F106/Indeks!$F$40*Indeks!$F$2)/Indeks!H106*100</f>
        <v>9.5288710213389097E-2</v>
      </c>
      <c r="G106" s="64">
        <f>(Indeks!G106/Indeks!$G$40*Indeks!$G$2)/Indeks!H106*100</f>
        <v>1.8719116551837264E-2</v>
      </c>
      <c r="H106" s="64">
        <f t="shared" si="11"/>
        <v>0.99999999999999989</v>
      </c>
    </row>
    <row r="107" spans="1:8" hidden="1" x14ac:dyDescent="0.2">
      <c r="A107" s="11">
        <f t="shared" si="12"/>
        <v>2013</v>
      </c>
      <c r="B107" t="s">
        <v>13</v>
      </c>
      <c r="C107" s="62">
        <f>(Indeks!C107/Indeks!$C$40*Indeks!$C$2)/Indeks!H107*100</f>
        <v>0.72372356302651131</v>
      </c>
      <c r="D107" s="62">
        <f>(Indeks!D107/Indeks!$D$40*Indeks!$D$2)/Indeks!H107*100</f>
        <v>6.6615231960677937E-2</v>
      </c>
      <c r="E107" s="62">
        <f>(Indeks!E107/Indeks!$E$40*Indeks!$E$2)/Indeks!H107*100</f>
        <v>9.3403112822198722E-2</v>
      </c>
      <c r="F107" s="62">
        <f>(Indeks!F107/Indeks!$F$40*Indeks!$F$2)/Indeks!H107*100</f>
        <v>9.5149380320102478E-2</v>
      </c>
      <c r="G107" s="62">
        <f>(Indeks!G107/Indeks!$G$40*Indeks!$G$2)/Indeks!H107*100</f>
        <v>2.1108711870509486E-2</v>
      </c>
      <c r="H107" s="62">
        <f>SUM(C107:G107)</f>
        <v>0.99999999999999989</v>
      </c>
    </row>
    <row r="108" spans="1:8" hidden="1" x14ac:dyDescent="0.2">
      <c r="A108" s="13">
        <f t="shared" si="12"/>
        <v>2013</v>
      </c>
      <c r="B108" s="14" t="s">
        <v>14</v>
      </c>
      <c r="C108" s="67">
        <f>(Indeks!C108/Indeks!$C$40*Indeks!$C$2)/Indeks!H108*100</f>
        <v>0.72584794293061072</v>
      </c>
      <c r="D108" s="67">
        <f>(Indeks!D108/Indeks!$D$40*Indeks!$D$2)/Indeks!H108*100</f>
        <v>6.4599381187543117E-2</v>
      </c>
      <c r="E108" s="67">
        <f>(Indeks!E108/Indeks!$E$40*Indeks!$E$2)/Indeks!H108*100</f>
        <v>9.3389045588966782E-2</v>
      </c>
      <c r="F108" s="67">
        <f>(Indeks!F108/Indeks!$F$40*Indeks!$F$2)/Indeks!H108*100</f>
        <v>9.485724758094094E-2</v>
      </c>
      <c r="G108" s="67">
        <f>(Indeks!G108/Indeks!$G$40*Indeks!$G$2)/Indeks!H108*100</f>
        <v>2.1306382711938302E-2</v>
      </c>
      <c r="H108" s="67">
        <f>SUM(C108:G108)</f>
        <v>0.99999999999999989</v>
      </c>
    </row>
    <row r="109" spans="1:8" hidden="1" x14ac:dyDescent="0.2">
      <c r="A109" s="11">
        <f t="shared" si="12"/>
        <v>2013</v>
      </c>
      <c r="B109" t="s">
        <v>15</v>
      </c>
      <c r="C109" s="62">
        <f>(Indeks!C109/Indeks!$C$40*Indeks!$C$2)/Indeks!H109*100</f>
        <v>0.72499917516857049</v>
      </c>
      <c r="D109" s="62">
        <f>(Indeks!D109/Indeks!$D$40*Indeks!$D$2)/Indeks!H109*100</f>
        <v>6.4368238005436562E-2</v>
      </c>
      <c r="E109" s="62">
        <f>(Indeks!E109/Indeks!$E$40*Indeks!$E$2)/Indeks!H109*100</f>
        <v>9.3126691660621874E-2</v>
      </c>
      <c r="F109" s="62">
        <f>(Indeks!F109/Indeks!$F$40*Indeks!$F$2)/Indeks!H109*100</f>
        <v>9.4517838663259898E-2</v>
      </c>
      <c r="G109" s="62">
        <f>(Indeks!G109/Indeks!$G$40*Indeks!$G$2)/Indeks!H109*100</f>
        <v>2.2988056502111207E-2</v>
      </c>
      <c r="H109" s="62">
        <f>SUM(C109:G109)</f>
        <v>1</v>
      </c>
    </row>
    <row r="110" spans="1:8" hidden="1" x14ac:dyDescent="0.2">
      <c r="A110" s="11">
        <f t="shared" si="12"/>
        <v>2013</v>
      </c>
      <c r="B110" t="s">
        <v>16</v>
      </c>
      <c r="C110" s="62">
        <f>(Indeks!C110/Indeks!$C$40*Indeks!$C$2)/Indeks!H110*100</f>
        <v>0.7256842594741223</v>
      </c>
      <c r="D110" s="62">
        <f>(Indeks!D110/Indeks!$D$40*Indeks!$D$2)/Indeks!H110*100</f>
        <v>6.4429062446544769E-2</v>
      </c>
      <c r="E110" s="62">
        <f>(Indeks!E110/Indeks!$E$40*Indeks!$E$2)/Indeks!H110*100</f>
        <v>9.3502169102180482E-2</v>
      </c>
      <c r="F110" s="62">
        <f>(Indeks!F110/Indeks!$F$40*Indeks!$F$2)/Indeks!H110*100</f>
        <v>9.43221915134312E-2</v>
      </c>
      <c r="G110" s="62">
        <f>(Indeks!G110/Indeks!$G$40*Indeks!$G$2)/Indeks!H110*100</f>
        <v>2.2062317463721327E-2</v>
      </c>
      <c r="H110" s="62">
        <f>SUM(C110:G110)</f>
        <v>1</v>
      </c>
    </row>
    <row r="111" spans="1:8" hidden="1" x14ac:dyDescent="0.2">
      <c r="A111" s="11">
        <f t="shared" si="12"/>
        <v>2013</v>
      </c>
      <c r="B111" t="s">
        <v>17</v>
      </c>
      <c r="C111" s="62">
        <f>(Indeks!C111/Indeks!$C$40*Indeks!$C$2)/Indeks!H111*100</f>
        <v>0.7233973054747499</v>
      </c>
      <c r="D111" s="62">
        <f>(Indeks!D111/Indeks!$D$40*Indeks!$D$2)/Indeks!H111*100</f>
        <v>6.642462629590426E-2</v>
      </c>
      <c r="E111" s="62">
        <f>(Indeks!E111/Indeks!$E$40*Indeks!$E$2)/Indeks!H111*100</f>
        <v>9.3350788100184171E-2</v>
      </c>
      <c r="F111" s="62">
        <f>(Indeks!F111/Indeks!$F$40*Indeks!$F$2)/Indeks!H111*100</f>
        <v>9.4024940318720815E-2</v>
      </c>
      <c r="G111" s="62">
        <f>(Indeks!G111/Indeks!$G$40*Indeks!$G$2)/Indeks!H111*100</f>
        <v>2.2802339810440875E-2</v>
      </c>
      <c r="H111" s="62">
        <f>SUM(C111:G111)</f>
        <v>1</v>
      </c>
    </row>
    <row r="112" spans="1:8" hidden="1" x14ac:dyDescent="0.2">
      <c r="A112" s="49">
        <v>2014</v>
      </c>
      <c r="B112" s="50" t="s">
        <v>7</v>
      </c>
      <c r="C112" s="51">
        <f>(Indeks!C112/Indeks!$C$40*Indeks!$C$2)/Indeks!H112*100</f>
        <v>0.72624414904119883</v>
      </c>
      <c r="D112" s="51">
        <f>(Indeks!D112/Indeks!$D$40*Indeks!$D$2)/Indeks!H112*100</f>
        <v>6.6578992286777577E-2</v>
      </c>
      <c r="E112" s="51">
        <f>(Indeks!E112/Indeks!$E$40*Indeks!$E$2)/Indeks!H112*100</f>
        <v>9.3352300143921887E-2</v>
      </c>
      <c r="F112" s="51">
        <f>(Indeks!F112/Indeks!$F$40*Indeks!$F$2)/Indeks!H112*100</f>
        <v>9.3674000615779657E-2</v>
      </c>
      <c r="G112" s="51">
        <f>(Indeks!G112/Indeks!$G$40*Indeks!$G$2)/Indeks!H112*100</f>
        <v>2.0150557912321967E-2</v>
      </c>
      <c r="H112" s="51">
        <f t="shared" ref="H112:H118" si="13">SUM(C112:G112)</f>
        <v>1</v>
      </c>
    </row>
    <row r="113" spans="1:8" hidden="1" x14ac:dyDescent="0.2">
      <c r="A113" s="11">
        <f>A112</f>
        <v>2014</v>
      </c>
      <c r="B113" t="s">
        <v>8</v>
      </c>
      <c r="C113" s="62">
        <f>(Indeks!C113/Indeks!$C$40*Indeks!$C$2)/Indeks!H113*100</f>
        <v>0.72513833516786719</v>
      </c>
      <c r="D113" s="62">
        <f>(Indeks!D113/Indeks!$D$40*Indeks!$D$2)/Indeks!H113*100</f>
        <v>6.6477615947373864E-2</v>
      </c>
      <c r="E113" s="62">
        <f>(Indeks!E113/Indeks!$E$40*Indeks!$E$2)/Indeks!H113*100</f>
        <v>9.3138457371789149E-2</v>
      </c>
      <c r="F113" s="62">
        <f>(Indeks!F113/Indeks!$F$40*Indeks!$F$2)/Indeks!H113*100</f>
        <v>9.3910421292001209E-2</v>
      </c>
      <c r="G113" s="62">
        <f>(Indeks!G113/Indeks!$G$40*Indeks!$G$2)/Indeks!H113*100</f>
        <v>2.1335170220968529E-2</v>
      </c>
      <c r="H113" s="62">
        <f t="shared" si="13"/>
        <v>1</v>
      </c>
    </row>
    <row r="114" spans="1:8" hidden="1" x14ac:dyDescent="0.2">
      <c r="A114" s="13">
        <f t="shared" ref="A114:A123" si="14">A113</f>
        <v>2014</v>
      </c>
      <c r="B114" s="14" t="s">
        <v>9</v>
      </c>
      <c r="C114" s="63">
        <f>(Indeks!C114/Indeks!$C$40*Indeks!$C$2)/Indeks!H114*100</f>
        <v>0.72379398118928584</v>
      </c>
      <c r="D114" s="63">
        <f>(Indeks!D114/Indeks!$D$40*Indeks!$D$2)/Indeks!H114*100</f>
        <v>6.9349302761110107E-2</v>
      </c>
      <c r="E114" s="63">
        <f>(Indeks!E114/Indeks!$E$40*Indeks!$E$2)/Indeks!H114*100</f>
        <v>9.2822651025750061E-2</v>
      </c>
      <c r="F114" s="63">
        <f>(Indeks!F114/Indeks!$F$40*Indeks!$F$2)/Indeks!H114*100</f>
        <v>9.3547142956109414E-2</v>
      </c>
      <c r="G114" s="63">
        <f>(Indeks!G114/Indeks!$G$40*Indeks!$G$2)/Indeks!H114*100</f>
        <v>2.0486922067744502E-2</v>
      </c>
      <c r="H114" s="63">
        <f t="shared" si="13"/>
        <v>0.99999999999999989</v>
      </c>
    </row>
    <row r="115" spans="1:8" hidden="1" x14ac:dyDescent="0.2">
      <c r="A115" s="11">
        <f t="shared" si="14"/>
        <v>2014</v>
      </c>
      <c r="B115" t="s">
        <v>10</v>
      </c>
      <c r="C115" s="62">
        <f>(Indeks!C115/Indeks!$C$40*Indeks!$C$2)/Indeks!H115*100</f>
        <v>0.72457612743811783</v>
      </c>
      <c r="D115" s="62">
        <f>(Indeks!D115/Indeks!$D$40*Indeks!$D$2)/Indeks!H115*100</f>
        <v>6.9146768012336976E-2</v>
      </c>
      <c r="E115" s="62">
        <f>(Indeks!E115/Indeks!$E$40*Indeks!$E$2)/Indeks!H115*100</f>
        <v>9.319378596600543E-2</v>
      </c>
      <c r="F115" s="62">
        <f>(Indeks!F115/Indeks!$F$40*Indeks!$F$2)/Indeks!H115*100</f>
        <v>9.3462561103391642E-2</v>
      </c>
      <c r="G115" s="62">
        <f>(Indeks!G115/Indeks!$G$40*Indeks!$G$2)/Indeks!H115*100</f>
        <v>1.9620757480148156E-2</v>
      </c>
      <c r="H115" s="62">
        <f t="shared" si="13"/>
        <v>1.0000000000000002</v>
      </c>
    </row>
    <row r="116" spans="1:8" hidden="1" x14ac:dyDescent="0.2">
      <c r="A116" s="11">
        <f t="shared" si="14"/>
        <v>2014</v>
      </c>
      <c r="B116" t="s">
        <v>11</v>
      </c>
      <c r="C116" s="62">
        <f>(Indeks!C116/Indeks!$C$40*Indeks!$C$2)/Indeks!H116*100</f>
        <v>0.72502182892146616</v>
      </c>
      <c r="D116" s="62">
        <f>(Indeks!D116/Indeks!$D$40*Indeks!$D$2)/Indeks!H116*100</f>
        <v>6.9189301592874328E-2</v>
      </c>
      <c r="E116" s="62">
        <f>(Indeks!E116/Indeks!$E$40*Indeks!$E$2)/Indeks!H116*100</f>
        <v>9.3322513431465734E-2</v>
      </c>
      <c r="F116" s="62">
        <f>(Indeks!F116/Indeks!$F$40*Indeks!$F$2)/Indeks!H116*100</f>
        <v>9.3236943693195351E-2</v>
      </c>
      <c r="G116" s="62">
        <f>(Indeks!G116/Indeks!$G$40*Indeks!$G$2)/Indeks!H116*100</f>
        <v>1.9229412360998392E-2</v>
      </c>
      <c r="H116" s="62">
        <f t="shared" si="13"/>
        <v>0.99999999999999989</v>
      </c>
    </row>
    <row r="117" spans="1:8" hidden="1" x14ac:dyDescent="0.2">
      <c r="A117" s="13">
        <f t="shared" si="14"/>
        <v>2014</v>
      </c>
      <c r="B117" s="14" t="s">
        <v>12</v>
      </c>
      <c r="C117" s="63">
        <f>(Indeks!C117/Indeks!$C$40*Indeks!$C$2)/Indeks!H117*100</f>
        <v>0.72614870903065487</v>
      </c>
      <c r="D117" s="63">
        <f>(Indeks!D117/Indeks!$D$40*Indeks!$D$2)/Indeks!H117*100</f>
        <v>6.8232781518753408E-2</v>
      </c>
      <c r="E117" s="63">
        <f>(Indeks!E117/Indeks!$E$40*Indeks!$E$2)/Indeks!H117*100</f>
        <v>9.361058797835993E-2</v>
      </c>
      <c r="F117" s="63">
        <f>(Indeks!F117/Indeks!$F$40*Indeks!$F$2)/Indeks!H117*100</f>
        <v>9.3287343081360705E-2</v>
      </c>
      <c r="G117" s="63">
        <f>(Indeks!G117/Indeks!$G$40*Indeks!$G$2)/Indeks!H117*100</f>
        <v>1.8720578390871098E-2</v>
      </c>
      <c r="H117" s="63">
        <f t="shared" si="13"/>
        <v>1</v>
      </c>
    </row>
    <row r="118" spans="1:8" hidden="1" x14ac:dyDescent="0.2">
      <c r="A118" s="11">
        <f t="shared" si="14"/>
        <v>2014</v>
      </c>
      <c r="B118" t="s">
        <v>30</v>
      </c>
      <c r="C118" s="62">
        <f>(Indeks!C118/Indeks!$C$40*Indeks!$C$2)/Indeks!H118*100</f>
        <v>0.72741960760566826</v>
      </c>
      <c r="D118" s="62">
        <f>(Indeks!D118/Indeks!$D$40*Indeks!$D$2)/Indeks!H118*100</f>
        <v>6.8188679870947788E-2</v>
      </c>
      <c r="E118" s="62">
        <f>(Indeks!E118/Indeks!$E$40*Indeks!$E$2)/Indeks!H118*100</f>
        <v>9.3478616780022478E-2</v>
      </c>
      <c r="F118" s="62">
        <f>(Indeks!F118/Indeks!$F$40*Indeks!$F$2)/Indeks!H118*100</f>
        <v>9.3415957566170368E-2</v>
      </c>
      <c r="G118" s="62">
        <f>(Indeks!G118/Indeks!$G$40*Indeks!$G$2)/Indeks!H118*100</f>
        <v>1.749713817719099E-2</v>
      </c>
      <c r="H118" s="62">
        <f t="shared" si="13"/>
        <v>0.99999999999999989</v>
      </c>
    </row>
    <row r="119" spans="1:8" hidden="1" x14ac:dyDescent="0.2">
      <c r="A119" s="11">
        <f t="shared" si="14"/>
        <v>2014</v>
      </c>
      <c r="B119" t="s">
        <v>13</v>
      </c>
      <c r="C119" s="62">
        <f>(Indeks!C119/Indeks!$C$40*Indeks!$C$2)/Indeks!H119*100</f>
        <v>0.72750080050772359</v>
      </c>
      <c r="D119" s="62">
        <f>(Indeks!D119/Indeks!$D$40*Indeks!$D$2)/Indeks!H119*100</f>
        <v>6.8196290934422227E-2</v>
      </c>
      <c r="E119" s="62">
        <f>(Indeks!E119/Indeks!$E$40*Indeks!$E$2)/Indeks!H119*100</f>
        <v>9.3417575838672426E-2</v>
      </c>
      <c r="F119" s="62">
        <f>(Indeks!F119/Indeks!$F$40*Indeks!$F$2)/Indeks!H119*100</f>
        <v>9.3520849945302312E-2</v>
      </c>
      <c r="G119" s="62">
        <f>(Indeks!G119/Indeks!$G$40*Indeks!$G$2)/Indeks!H119*100</f>
        <v>1.7364482773879333E-2</v>
      </c>
      <c r="H119" s="62">
        <f>SUM(C119:G119)</f>
        <v>0.99999999999999989</v>
      </c>
    </row>
    <row r="120" spans="1:8" hidden="1" x14ac:dyDescent="0.2">
      <c r="A120" s="13">
        <f t="shared" si="14"/>
        <v>2014</v>
      </c>
      <c r="B120" s="14" t="s">
        <v>14</v>
      </c>
      <c r="C120" s="63">
        <f>(Indeks!C120/Indeks!$C$40*Indeks!$C$2)/Indeks!H120*100</f>
        <v>0.72834662212571444</v>
      </c>
      <c r="D120" s="63">
        <f>(Indeks!D120/Indeks!$D$40*Indeks!$D$2)/Indeks!H120*100</f>
        <v>6.714430690682395E-2</v>
      </c>
      <c r="E120" s="63">
        <f>(Indeks!E120/Indeks!$E$40*Indeks!$E$2)/Indeks!H120*100</f>
        <v>9.3454628951409241E-2</v>
      </c>
      <c r="F120" s="63">
        <f>(Indeks!F120/Indeks!$F$40*Indeks!$F$2)/Indeks!H120*100</f>
        <v>9.3535005703122426E-2</v>
      </c>
      <c r="G120" s="63">
        <f>(Indeks!G120/Indeks!$G$40*Indeks!$G$2)/Indeks!H120*100</f>
        <v>1.7519436312929865E-2</v>
      </c>
      <c r="H120" s="63">
        <f>SUM(C120:G120)</f>
        <v>0.99999999999999989</v>
      </c>
    </row>
    <row r="121" spans="1:8" hidden="1" x14ac:dyDescent="0.2">
      <c r="A121" s="11">
        <f t="shared" si="14"/>
        <v>2014</v>
      </c>
      <c r="B121" t="s">
        <v>15</v>
      </c>
      <c r="C121" s="62">
        <f>(Indeks!C121/Indeks!$C$40*Indeks!$C$2)/Indeks!H121*100</f>
        <v>0.73002219152777081</v>
      </c>
      <c r="D121" s="62">
        <f>(Indeks!D121/Indeks!$D$40*Indeks!$D$2)/Indeks!H121*100</f>
        <v>6.7031502379025776E-2</v>
      </c>
      <c r="E121" s="62">
        <f>(Indeks!E121/Indeks!$E$40*Indeks!$E$2)/Indeks!H121*100</f>
        <v>9.3154746884098527E-2</v>
      </c>
      <c r="F121" s="62">
        <f>(Indeks!F121/Indeks!$F$40*Indeks!$F$2)/Indeks!H121*100</f>
        <v>9.3377863979020898E-2</v>
      </c>
      <c r="G121" s="62">
        <f>(Indeks!G121/Indeks!$G$40*Indeks!$G$2)/Indeks!H121*100</f>
        <v>1.6413695230084263E-2</v>
      </c>
      <c r="H121" s="62">
        <f>SUM(C121:G121)</f>
        <v>1.0000000000000002</v>
      </c>
    </row>
    <row r="122" spans="1:8" hidden="1" x14ac:dyDescent="0.2">
      <c r="A122" s="11">
        <f t="shared" si="14"/>
        <v>2014</v>
      </c>
      <c r="B122" t="s">
        <v>16</v>
      </c>
      <c r="C122" s="62">
        <f>(Indeks!C122/Indeks!$C$40*Indeks!$C$2)/Indeks!H122*100</f>
        <v>0.73007447472768139</v>
      </c>
      <c r="D122" s="62">
        <f>(Indeks!D122/Indeks!$D$40*Indeks!$D$2)/Indeks!H122*100</f>
        <v>6.7036303084373999E-2</v>
      </c>
      <c r="E122" s="62">
        <f>(Indeks!E122/Indeks!$E$40*Indeks!$E$2)/Indeks!H122*100</f>
        <v>9.34471897232068E-2</v>
      </c>
      <c r="F122" s="62">
        <f>(Indeks!F122/Indeks!$F$40*Indeks!$F$2)/Indeks!H122*100</f>
        <v>9.3565354191873867E-2</v>
      </c>
      <c r="G122" s="62">
        <f>(Indeks!G122/Indeks!$G$40*Indeks!$G$2)/Indeks!H122*100</f>
        <v>1.5876678272864191E-2</v>
      </c>
      <c r="H122" s="62">
        <f>SUM(C122:G122)</f>
        <v>1.0000000000000002</v>
      </c>
    </row>
    <row r="123" spans="1:8" ht="13.5" hidden="1" thickBot="1" x14ac:dyDescent="0.25">
      <c r="A123" s="31">
        <f t="shared" si="14"/>
        <v>2014</v>
      </c>
      <c r="B123" s="32" t="s">
        <v>17</v>
      </c>
      <c r="C123" s="65">
        <f>(Indeks!C123/Indeks!$C$40*Indeks!$C$2)/Indeks!H123*100</f>
        <v>0.72793677975130266</v>
      </c>
      <c r="D123" s="65">
        <f>(Indeks!D123/Indeks!$D$40*Indeks!$D$2)/Indeks!H123*100</f>
        <v>6.9026063558173339E-2</v>
      </c>
      <c r="E123" s="65">
        <f>(Indeks!E123/Indeks!$E$40*Indeks!$E$2)/Indeks!H123*100</f>
        <v>9.3244805244227236E-2</v>
      </c>
      <c r="F123" s="65">
        <f>(Indeks!F123/Indeks!$F$40*Indeks!$F$2)/Indeks!H123*100</f>
        <v>9.3291390103903707E-2</v>
      </c>
      <c r="G123" s="65">
        <f>(Indeks!G123/Indeks!$G$40*Indeks!$G$2)/Indeks!H123*100</f>
        <v>1.6500961342393157E-2</v>
      </c>
      <c r="H123" s="65">
        <f>SUM(C123:G123)</f>
        <v>1</v>
      </c>
    </row>
    <row r="124" spans="1:8" hidden="1" x14ac:dyDescent="0.2">
      <c r="A124" s="49">
        <v>2015</v>
      </c>
      <c r="B124" t="s">
        <v>7</v>
      </c>
      <c r="C124" s="62">
        <f>(Indeks!C124/Indeks!$C$40*Indeks!$C$2)/Indeks!H124*100</f>
        <v>0.72956366676012796</v>
      </c>
      <c r="D124" s="62">
        <f>(Indeks!D124/Indeks!$D$40*Indeks!$D$2)/Indeks!H124*100</f>
        <v>6.8894070520888764E-2</v>
      </c>
      <c r="E124" s="62">
        <f>(Indeks!E124/Indeks!$E$40*Indeks!$E$2)/Indeks!H124*100</f>
        <v>9.2853208429135317E-2</v>
      </c>
      <c r="F124" s="62">
        <f>(Indeks!F124/Indeks!$F$40*Indeks!$F$2)/Indeks!H124*100</f>
        <v>9.3023032169808131E-2</v>
      </c>
      <c r="G124" s="62">
        <f>(Indeks!G124/Indeks!$G$40*Indeks!$G$2)/Indeks!H124*100</f>
        <v>1.5666022120039855E-2</v>
      </c>
      <c r="H124" s="62">
        <f t="shared" ref="H124:H135" si="15">SUM(C124:G124)</f>
        <v>1</v>
      </c>
    </row>
    <row r="125" spans="1:8" hidden="1" x14ac:dyDescent="0.2">
      <c r="A125" s="11">
        <f>A124</f>
        <v>2015</v>
      </c>
      <c r="B125" t="s">
        <v>8</v>
      </c>
      <c r="C125" s="62">
        <f>(Indeks!C125/Indeks!$C$40*Indeks!$C$2)/Indeks!H125*100</f>
        <v>0.73014100282655481</v>
      </c>
      <c r="D125" s="62">
        <f>(Indeks!D125/Indeks!$D$40*Indeks!$D$2)/Indeks!H125*100</f>
        <v>6.8948589452528145E-2</v>
      </c>
      <c r="E125" s="62">
        <f>(Indeks!E125/Indeks!$E$40*Indeks!$E$2)/Indeks!H125*100</f>
        <v>9.2713226291723419E-2</v>
      </c>
      <c r="F125" s="62">
        <f>(Indeks!F125/Indeks!$F$40*Indeks!$F$2)/Indeks!H125*100</f>
        <v>9.3456787180056622E-2</v>
      </c>
      <c r="G125" s="62">
        <f>(Indeks!G125/Indeks!$G$40*Indeks!$G$2)/Indeks!H125*100</f>
        <v>1.4740394249137164E-2</v>
      </c>
      <c r="H125" s="62">
        <f t="shared" si="15"/>
        <v>1</v>
      </c>
    </row>
    <row r="126" spans="1:8" hidden="1" x14ac:dyDescent="0.2">
      <c r="A126" s="13">
        <f t="shared" ref="A126:A135" si="16">A125</f>
        <v>2015</v>
      </c>
      <c r="B126" s="14" t="s">
        <v>9</v>
      </c>
      <c r="C126" s="63">
        <f>(Indeks!C126/Indeks!$C$40*Indeks!$C$2)/Indeks!H126*100</f>
        <v>0.73396134537821489</v>
      </c>
      <c r="D126" s="63">
        <f>(Indeks!D126/Indeks!$D$40*Indeks!$D$2)/Indeks!H126*100</f>
        <v>6.7313880816621013E-2</v>
      </c>
      <c r="E126" s="63">
        <f>(Indeks!E126/Indeks!$E$40*Indeks!$E$2)/Indeks!H126*100</f>
        <v>9.2697651221377506E-2</v>
      </c>
      <c r="F126" s="63">
        <f>(Indeks!F126/Indeks!$F$40*Indeks!$F$2)/Indeks!H126*100</f>
        <v>9.4307810571973572E-2</v>
      </c>
      <c r="G126" s="63">
        <f>(Indeks!G126/Indeks!$G$40*Indeks!$G$2)/Indeks!H126*100</f>
        <v>1.1719312011813093E-2</v>
      </c>
      <c r="H126" s="63">
        <f t="shared" si="15"/>
        <v>1.0000000000000002</v>
      </c>
    </row>
    <row r="127" spans="1:8" hidden="1" x14ac:dyDescent="0.2">
      <c r="A127" s="11">
        <f t="shared" si="16"/>
        <v>2015</v>
      </c>
      <c r="B127" t="s">
        <v>10</v>
      </c>
      <c r="C127" s="62">
        <f>(Indeks!C127/Indeks!$C$40*Indeks!$C$2)/Indeks!H127*100</f>
        <v>0.73437557350999905</v>
      </c>
      <c r="D127" s="62">
        <f>(Indeks!D127/Indeks!$D$40*Indeks!$D$2)/Indeks!H127*100</f>
        <v>6.7098771460233644E-2</v>
      </c>
      <c r="E127" s="62">
        <f>(Indeks!E127/Indeks!$E$40*Indeks!$E$2)/Indeks!H127*100</f>
        <v>9.3328291212870423E-2</v>
      </c>
      <c r="F127" s="62">
        <f>(Indeks!F127/Indeks!$F$40*Indeks!$F$2)/Indeks!H127*100</f>
        <v>9.4186873588716746E-2</v>
      </c>
      <c r="G127" s="62">
        <f>(Indeks!G127/Indeks!$G$40*Indeks!$G$2)/Indeks!H127*100</f>
        <v>1.1010490228180136E-2</v>
      </c>
      <c r="H127" s="62">
        <f t="shared" si="15"/>
        <v>1.0000000000000002</v>
      </c>
    </row>
    <row r="128" spans="1:8" hidden="1" x14ac:dyDescent="0.2">
      <c r="A128" s="11">
        <f t="shared" si="16"/>
        <v>2015</v>
      </c>
      <c r="B128" t="s">
        <v>11</v>
      </c>
      <c r="C128" s="62">
        <f>(Indeks!C128/Indeks!$C$40*Indeks!$C$2)/Indeks!H128*100</f>
        <v>0.73360000999124786</v>
      </c>
      <c r="D128" s="62">
        <f>(Indeks!D128/Indeks!$D$40*Indeks!$D$2)/Indeks!H128*100</f>
        <v>6.7027909409295788E-2</v>
      </c>
      <c r="E128" s="62">
        <f>(Indeks!E128/Indeks!$E$40*Indeks!$E$2)/Indeks!H128*100</f>
        <v>9.3657061140379652E-2</v>
      </c>
      <c r="F128" s="62">
        <f>(Indeks!F128/Indeks!$F$40*Indeks!$F$2)/Indeks!H128*100</f>
        <v>9.4447892319949919E-2</v>
      </c>
      <c r="G128" s="62">
        <f>(Indeks!G128/Indeks!$G$40*Indeks!$G$2)/Indeks!H128*100</f>
        <v>1.1267127139126911E-2</v>
      </c>
      <c r="H128" s="62">
        <f t="shared" si="15"/>
        <v>1</v>
      </c>
    </row>
    <row r="129" spans="1:8" hidden="1" x14ac:dyDescent="0.2">
      <c r="A129" s="13">
        <f t="shared" si="16"/>
        <v>2015</v>
      </c>
      <c r="B129" s="14" t="s">
        <v>12</v>
      </c>
      <c r="C129" s="63">
        <f>(Indeks!C129/Indeks!$C$40*Indeks!$C$2)/Indeks!H129*100</f>
        <v>0.73438562917779193</v>
      </c>
      <c r="D129" s="63">
        <f>(Indeks!D129/Indeks!$D$40*Indeks!$D$2)/Indeks!H129*100</f>
        <v>6.5972521521782304E-2</v>
      </c>
      <c r="E129" s="63">
        <f>(Indeks!E129/Indeks!$E$40*Indeks!$E$2)/Indeks!H129*100</f>
        <v>9.380520493852261E-2</v>
      </c>
      <c r="F129" s="63">
        <f>(Indeks!F129/Indeks!$F$40*Indeks!$F$2)/Indeks!H129*100</f>
        <v>9.5631660027140908E-2</v>
      </c>
      <c r="G129" s="63">
        <f>(Indeks!G129/Indeks!$G$40*Indeks!$G$2)/Indeks!H129*100</f>
        <v>1.0204984334762218E-2</v>
      </c>
      <c r="H129" s="63">
        <f t="shared" si="15"/>
        <v>1</v>
      </c>
    </row>
    <row r="130" spans="1:8" hidden="1" x14ac:dyDescent="0.2">
      <c r="A130" s="11">
        <f t="shared" si="16"/>
        <v>2015</v>
      </c>
      <c r="B130" t="s">
        <v>30</v>
      </c>
      <c r="C130" s="62">
        <f>(Indeks!C130/Indeks!$C$40*Indeks!$C$2)/Indeks!H130*100</f>
        <v>0.73255250826327989</v>
      </c>
      <c r="D130" s="62">
        <f>(Indeks!D130/Indeks!$D$40*Indeks!$D$2)/Indeks!H130*100</f>
        <v>6.5652638446111994E-2</v>
      </c>
      <c r="E130" s="62">
        <f>(Indeks!E130/Indeks!$E$40*Indeks!$E$2)/Indeks!H130*100</f>
        <v>9.3398006513724735E-2</v>
      </c>
      <c r="F130" s="62">
        <f>(Indeks!F130/Indeks!$F$40*Indeks!$F$2)/Indeks!H130*100</f>
        <v>9.5167967737755862E-2</v>
      </c>
      <c r="G130" s="62">
        <f>(Indeks!G130/Indeks!$G$40*Indeks!$G$2)/Indeks!H130*100</f>
        <v>1.322887903912745E-2</v>
      </c>
      <c r="H130" s="62">
        <f t="shared" si="15"/>
        <v>1</v>
      </c>
    </row>
    <row r="131" spans="1:8" hidden="1" x14ac:dyDescent="0.2">
      <c r="A131" s="11">
        <f t="shared" si="16"/>
        <v>2015</v>
      </c>
      <c r="B131" t="s">
        <v>13</v>
      </c>
      <c r="C131" s="62">
        <f>(Indeks!C131/Indeks!$C$40*Indeks!$C$2)/Indeks!H131*100</f>
        <v>0.73126638334010929</v>
      </c>
      <c r="D131" s="62">
        <f>(Indeks!D131/Indeks!$D$40*Indeks!$D$2)/Indeks!H131*100</f>
        <v>6.5537373678569738E-2</v>
      </c>
      <c r="E131" s="62">
        <f>(Indeks!E131/Indeks!$E$40*Indeks!$E$2)/Indeks!H131*100</f>
        <v>9.3209773744183461E-2</v>
      </c>
      <c r="F131" s="62">
        <f>(Indeks!F131/Indeks!$F$40*Indeks!$F$2)/Indeks!H131*100</f>
        <v>9.5180130562510026E-2</v>
      </c>
      <c r="G131" s="62">
        <f>(Indeks!G131/Indeks!$G$40*Indeks!$G$2)/Indeks!H131*100</f>
        <v>1.4806338674627479E-2</v>
      </c>
      <c r="H131" s="62">
        <f t="shared" si="15"/>
        <v>1</v>
      </c>
    </row>
    <row r="132" spans="1:8" hidden="1" x14ac:dyDescent="0.2">
      <c r="A132" s="13">
        <f t="shared" si="16"/>
        <v>2015</v>
      </c>
      <c r="B132" s="14" t="s">
        <v>14</v>
      </c>
      <c r="C132" s="63">
        <f>(Indeks!C132/Indeks!$C$40*Indeks!$C$2)/Indeks!H132*100</f>
        <v>0.73232715882253097</v>
      </c>
      <c r="D132" s="63">
        <f>(Indeks!D132/Indeks!$D$40*Indeks!$D$2)/Indeks!H132*100</f>
        <v>6.5632442234658694E-2</v>
      </c>
      <c r="E132" s="63">
        <f>(Indeks!E132/Indeks!$E$40*Indeks!$E$2)/Indeks!H132*100</f>
        <v>9.3274053062639264E-2</v>
      </c>
      <c r="F132" s="63">
        <f>(Indeks!F132/Indeks!$F$40*Indeks!$F$2)/Indeks!H132*100</f>
        <v>9.540795240363116E-2</v>
      </c>
      <c r="G132" s="63">
        <f>(Indeks!G132/Indeks!$G$40*Indeks!$G$2)/Indeks!H132*100</f>
        <v>1.3358393476539998E-2</v>
      </c>
      <c r="H132" s="63">
        <f t="shared" si="15"/>
        <v>1</v>
      </c>
    </row>
    <row r="133" spans="1:8" hidden="1" x14ac:dyDescent="0.2">
      <c r="A133" s="11">
        <f t="shared" si="16"/>
        <v>2015</v>
      </c>
      <c r="B133" t="s">
        <v>15</v>
      </c>
      <c r="C133" s="62">
        <f>(Indeks!C133/Indeks!$C$40*Indeks!$C$2)/Indeks!H133*100</f>
        <v>0.73384697347590688</v>
      </c>
      <c r="D133" s="62">
        <f>(Indeks!D133/Indeks!$D$40*Indeks!$D$2)/Indeks!H133*100</f>
        <v>6.3815157132437419E-2</v>
      </c>
      <c r="E133" s="62">
        <f>(Indeks!E133/Indeks!$E$40*Indeks!$E$2)/Indeks!H133*100</f>
        <v>9.2745834232852958E-2</v>
      </c>
      <c r="F133" s="62">
        <f>(Indeks!F133/Indeks!$F$40*Indeks!$F$2)/Indeks!H133*100</f>
        <v>9.5336135373800118E-2</v>
      </c>
      <c r="G133" s="62">
        <f>(Indeks!G133/Indeks!$G$40*Indeks!$G$2)/Indeks!H133*100</f>
        <v>1.4255899785002912E-2</v>
      </c>
      <c r="H133" s="62">
        <f t="shared" si="15"/>
        <v>1.0000000000000004</v>
      </c>
    </row>
    <row r="134" spans="1:8" hidden="1" x14ac:dyDescent="0.2">
      <c r="A134" s="11">
        <f t="shared" si="16"/>
        <v>2015</v>
      </c>
      <c r="B134" t="s">
        <v>16</v>
      </c>
      <c r="C134" s="62">
        <f>(Indeks!C134/Indeks!$C$40*Indeks!$C$2)/Indeks!H134*100</f>
        <v>0.73320293053541075</v>
      </c>
      <c r="D134" s="62">
        <f>(Indeks!D134/Indeks!$D$40*Indeks!$D$2)/Indeks!H134*100</f>
        <v>6.3759151312514056E-2</v>
      </c>
      <c r="E134" s="62">
        <f>(Indeks!E134/Indeks!$E$40*Indeks!$E$2)/Indeks!H134*100</f>
        <v>9.2876484877232296E-2</v>
      </c>
      <c r="F134" s="62">
        <f>(Indeks!F134/Indeks!$F$40*Indeks!$F$2)/Indeks!H134*100</f>
        <v>9.525246593428352E-2</v>
      </c>
      <c r="G134" s="62">
        <f>(Indeks!G134/Indeks!$G$40*Indeks!$G$2)/Indeks!H134*100</f>
        <v>1.4908967340559602E-2</v>
      </c>
      <c r="H134" s="62">
        <f t="shared" si="15"/>
        <v>1.0000000000000002</v>
      </c>
    </row>
    <row r="135" spans="1:8" hidden="1" x14ac:dyDescent="0.2">
      <c r="A135" s="13">
        <f t="shared" si="16"/>
        <v>2015</v>
      </c>
      <c r="B135" s="14" t="s">
        <v>17</v>
      </c>
      <c r="C135" s="63">
        <f>(Indeks!C135/Indeks!$C$40*Indeks!$C$2)/Indeks!H135*100</f>
        <v>0.73105875790343955</v>
      </c>
      <c r="D135" s="63">
        <f>(Indeks!D135/Indeks!$D$40*Indeks!$D$2)/Indeks!H135*100</f>
        <v>6.684963759301242E-2</v>
      </c>
      <c r="E135" s="63">
        <f>(Indeks!E135/Indeks!$E$40*Indeks!$E$2)/Indeks!H135*100</f>
        <v>9.2604877647182032E-2</v>
      </c>
      <c r="F135" s="63">
        <f>(Indeks!F135/Indeks!$F$40*Indeks!$F$2)/Indeks!H135*100</f>
        <v>9.5152265166055391E-2</v>
      </c>
      <c r="G135" s="63">
        <f>(Indeks!G135/Indeks!$G$40*Indeks!$G$2)/Indeks!H135*100</f>
        <v>1.433446169031077E-2</v>
      </c>
      <c r="H135" s="63">
        <f t="shared" si="15"/>
        <v>1.0000000000000002</v>
      </c>
    </row>
    <row r="136" spans="1:8" hidden="1" x14ac:dyDescent="0.2">
      <c r="A136" s="49">
        <v>2016</v>
      </c>
      <c r="B136" t="s">
        <v>7</v>
      </c>
      <c r="C136" s="62">
        <f>(Indeks!C136/Indeks!$C$40*Indeks!$C$2)/Indeks!H136*100</f>
        <v>0.73268200799511352</v>
      </c>
      <c r="D136" s="62">
        <f>(Indeks!D136/Indeks!$D$40*Indeks!$D$2)/Indeks!H136*100</f>
        <v>6.6265193324892696E-2</v>
      </c>
      <c r="E136" s="62">
        <f>(Indeks!E136/Indeks!$E$40*Indeks!$E$2)/Indeks!H136*100</f>
        <v>9.2239271464047812E-2</v>
      </c>
      <c r="F136" s="62">
        <f>(Indeks!F136/Indeks!$F$40*Indeks!$F$2)/Indeks!H136*100</f>
        <v>9.5155092571221123E-2</v>
      </c>
      <c r="G136" s="62">
        <f>(Indeks!G136/Indeks!$G$40*Indeks!$G$2)/Indeks!H136*100</f>
        <v>1.3658434644724885E-2</v>
      </c>
      <c r="H136" s="62">
        <f t="shared" ref="H136:H147" si="17">SUM(C136:G136)</f>
        <v>1</v>
      </c>
    </row>
    <row r="137" spans="1:8" hidden="1" x14ac:dyDescent="0.2">
      <c r="A137" s="11">
        <f>A136</f>
        <v>2016</v>
      </c>
      <c r="B137" t="s">
        <v>8</v>
      </c>
      <c r="C137" s="62">
        <f>(Indeks!C137/Indeks!$C$40*Indeks!$C$2)/Indeks!H137*100</f>
        <v>0.73207402528847587</v>
      </c>
      <c r="D137" s="62">
        <f>(Indeks!D137/Indeks!$D$40*Indeks!$D$2)/Indeks!H137*100</f>
        <v>6.6210206180191591E-2</v>
      </c>
      <c r="E137" s="62">
        <f>(Indeks!E137/Indeks!$E$40*Indeks!$E$2)/Indeks!H137*100</f>
        <v>9.2197558505421787E-2</v>
      </c>
      <c r="F137" s="62">
        <f>(Indeks!F137/Indeks!$F$40*Indeks!$F$2)/Indeks!H137*100</f>
        <v>9.5076132462878743E-2</v>
      </c>
      <c r="G137" s="62">
        <f>(Indeks!G137/Indeks!$G$40*Indeks!$G$2)/Indeks!H137*100</f>
        <v>1.4442077563032073E-2</v>
      </c>
      <c r="H137" s="62">
        <f t="shared" si="17"/>
        <v>1</v>
      </c>
    </row>
    <row r="138" spans="1:8" hidden="1" x14ac:dyDescent="0.2">
      <c r="A138" s="13">
        <f t="shared" ref="A138:A147" si="18">A137</f>
        <v>2016</v>
      </c>
      <c r="B138" s="14" t="s">
        <v>9</v>
      </c>
      <c r="C138" s="63">
        <f>(Indeks!C138/Indeks!$C$40*Indeks!$C$2)/Indeks!H138*100</f>
        <v>0.73225692080004234</v>
      </c>
      <c r="D138" s="63">
        <f>(Indeks!D138/Indeks!$D$40*Indeks!$D$2)/Indeks!H138*100</f>
        <v>6.6292189058055839E-2</v>
      </c>
      <c r="E138" s="63">
        <f>(Indeks!E138/Indeks!$E$40*Indeks!$E$2)/Indeks!H138*100</f>
        <v>9.1816274126857916E-2</v>
      </c>
      <c r="F138" s="63">
        <f>(Indeks!F138/Indeks!$F$40*Indeks!$F$2)/Indeks!H138*100</f>
        <v>9.518893035901492E-2</v>
      </c>
      <c r="G138" s="63">
        <f>(Indeks!G138/Indeks!$G$40*Indeks!$G$2)/Indeks!H138*100</f>
        <v>1.4445685656029134E-2</v>
      </c>
      <c r="H138" s="63">
        <f t="shared" si="17"/>
        <v>1</v>
      </c>
    </row>
    <row r="139" spans="1:8" hidden="1" x14ac:dyDescent="0.2">
      <c r="A139" s="11">
        <f t="shared" si="18"/>
        <v>2016</v>
      </c>
      <c r="B139" t="s">
        <v>10</v>
      </c>
      <c r="C139" s="62">
        <f>(Indeks!C139/Indeks!$C$40*Indeks!$C$2)/Indeks!H139*100</f>
        <v>0.73342364402411275</v>
      </c>
      <c r="D139" s="62">
        <f>(Indeks!D139/Indeks!$D$40*Indeks!$D$2)/Indeks!H139*100</f>
        <v>6.666218688611962E-2</v>
      </c>
      <c r="E139" s="62">
        <f>(Indeks!E139/Indeks!$E$40*Indeks!$E$2)/Indeks!H139*100</f>
        <v>9.2250400048998205E-2</v>
      </c>
      <c r="F139" s="62">
        <f>(Indeks!F139/Indeks!$F$40*Indeks!$F$2)/Indeks!H139*100</f>
        <v>9.4970198666283062E-2</v>
      </c>
      <c r="G139" s="62">
        <f>(Indeks!G139/Indeks!$G$40*Indeks!$G$2)/Indeks!H139*100</f>
        <v>1.2693570374486296E-2</v>
      </c>
      <c r="H139" s="62">
        <f t="shared" si="17"/>
        <v>0.99999999999999989</v>
      </c>
    </row>
    <row r="140" spans="1:8" hidden="1" x14ac:dyDescent="0.2">
      <c r="A140" s="11">
        <f t="shared" si="18"/>
        <v>2016</v>
      </c>
      <c r="B140" t="s">
        <v>11</v>
      </c>
      <c r="C140" s="62">
        <f>(Indeks!C140/Indeks!$C$40*Indeks!$C$2)/Indeks!H140*100</f>
        <v>0.73556100039990202</v>
      </c>
      <c r="D140" s="62">
        <f>(Indeks!D140/Indeks!$D$40*Indeks!$D$2)/Indeks!H140*100</f>
        <v>6.5219421361509072E-2</v>
      </c>
      <c r="E140" s="62">
        <f>(Indeks!E140/Indeks!$E$40*Indeks!$E$2)/Indeks!H140*100</f>
        <v>9.2611664635177712E-2</v>
      </c>
      <c r="F140" s="62">
        <f>(Indeks!F140/Indeks!$F$40*Indeks!$F$2)/Indeks!H140*100</f>
        <v>9.5336061650539858E-2</v>
      </c>
      <c r="G140" s="62">
        <f>(Indeks!G140/Indeks!$G$40*Indeks!$G$2)/Indeks!H140*100</f>
        <v>1.1271851952871255E-2</v>
      </c>
      <c r="H140" s="62">
        <f t="shared" si="17"/>
        <v>0.99999999999999989</v>
      </c>
    </row>
    <row r="141" spans="1:8" hidden="1" x14ac:dyDescent="0.2">
      <c r="A141" s="13">
        <f t="shared" si="18"/>
        <v>2016</v>
      </c>
      <c r="B141" s="14" t="s">
        <v>12</v>
      </c>
      <c r="C141" s="63">
        <f>(Indeks!C141/Indeks!$C$40*Indeks!$C$2)/Indeks!H141*100</f>
        <v>0.73542902868229876</v>
      </c>
      <c r="D141" s="63">
        <f>(Indeks!D141/Indeks!$D$40*Indeks!$D$2)/Indeks!H141*100</f>
        <v>6.5207719926749091E-2</v>
      </c>
      <c r="E141" s="63">
        <f>(Indeks!E141/Indeks!$E$40*Indeks!$E$2)/Indeks!H141*100</f>
        <v>9.2687458810460643E-2</v>
      </c>
      <c r="F141" s="63">
        <f>(Indeks!F141/Indeks!$F$40*Indeks!$F$2)/Indeks!H141*100</f>
        <v>9.514079052176623E-2</v>
      </c>
      <c r="G141" s="63">
        <f>(Indeks!G141/Indeks!$G$40*Indeks!$G$2)/Indeks!H141*100</f>
        <v>1.1535002058725149E-2</v>
      </c>
      <c r="H141" s="63">
        <f t="shared" si="17"/>
        <v>0.99999999999999989</v>
      </c>
    </row>
    <row r="142" spans="1:8" hidden="1" x14ac:dyDescent="0.2">
      <c r="A142" s="11">
        <f t="shared" si="18"/>
        <v>2016</v>
      </c>
      <c r="B142" t="s">
        <v>30</v>
      </c>
      <c r="C142" s="62">
        <f>(Indeks!C142/Indeks!$C$40*Indeks!$C$2)/Indeks!H142*100</f>
        <v>0.73680204094213764</v>
      </c>
      <c r="D142" s="62">
        <f>(Indeks!D142/Indeks!$D$40*Indeks!$D$2)/Indeks!H142*100</f>
        <v>6.4976054633985952E-2</v>
      </c>
      <c r="E142" s="62">
        <f>(Indeks!E142/Indeks!$E$40*Indeks!$E$2)/Indeks!H142*100</f>
        <v>9.2542329319220837E-2</v>
      </c>
      <c r="F142" s="62">
        <f>(Indeks!F142/Indeks!$F$40*Indeks!$F$2)/Indeks!H142*100</f>
        <v>9.4714014521771125E-2</v>
      </c>
      <c r="G142" s="62">
        <f>(Indeks!G142/Indeks!$G$40*Indeks!$G$2)/Indeks!H142*100</f>
        <v>1.0965560582884426E-2</v>
      </c>
      <c r="H142" s="62">
        <f t="shared" si="17"/>
        <v>0.99999999999999989</v>
      </c>
    </row>
    <row r="143" spans="1:8" hidden="1" x14ac:dyDescent="0.2">
      <c r="A143" s="11">
        <f t="shared" si="18"/>
        <v>2016</v>
      </c>
      <c r="B143" t="s">
        <v>13</v>
      </c>
      <c r="C143" s="62">
        <f>(Indeks!C143/Indeks!$C$40*Indeks!$C$2)/Indeks!H143*100</f>
        <v>0.73834750151703499</v>
      </c>
      <c r="D143" s="62">
        <f>(Indeks!D143/Indeks!$D$40*Indeks!$D$2)/Indeks!H143*100</f>
        <v>6.5700708071764369E-2</v>
      </c>
      <c r="E143" s="62">
        <f>(Indeks!E143/Indeks!$E$40*Indeks!$E$2)/Indeks!H143*100</f>
        <v>9.2828714216530314E-2</v>
      </c>
      <c r="F143" s="62">
        <f>(Indeks!F143/Indeks!$F$40*Indeks!$F$2)/Indeks!H143*100</f>
        <v>9.5179538036740119E-2</v>
      </c>
      <c r="G143" s="62">
        <f>(Indeks!G143/Indeks!$G$40*Indeks!$G$2)/Indeks!H143*100</f>
        <v>7.9435381579303979E-3</v>
      </c>
      <c r="H143" s="62">
        <f t="shared" si="17"/>
        <v>1.0000000000000002</v>
      </c>
    </row>
    <row r="144" spans="1:8" hidden="1" x14ac:dyDescent="0.2">
      <c r="A144" s="13">
        <f t="shared" si="18"/>
        <v>2016</v>
      </c>
      <c r="B144" s="14" t="s">
        <v>14</v>
      </c>
      <c r="C144" s="63">
        <f>(Indeks!C144/Indeks!$C$40*Indeks!$C$2)/Indeks!H144*100</f>
        <v>0.73924710039750674</v>
      </c>
      <c r="D144" s="63">
        <f>(Indeks!D144/Indeks!$D$40*Indeks!$D$2)/Indeks!H144*100</f>
        <v>6.4078966742995694E-2</v>
      </c>
      <c r="E144" s="63">
        <f>(Indeks!E144/Indeks!$E$40*Indeks!$E$2)/Indeks!H144*100</f>
        <v>9.284942876350917E-2</v>
      </c>
      <c r="F144" s="63">
        <f>(Indeks!F144/Indeks!$F$40*Indeks!$F$2)/Indeks!H144*100</f>
        <v>9.5473626744895998E-2</v>
      </c>
      <c r="G144" s="63">
        <f>(Indeks!G144/Indeks!$G$40*Indeks!$G$2)/Indeks!H144*100</f>
        <v>8.3508773510925088E-3</v>
      </c>
      <c r="H144" s="63">
        <f t="shared" si="17"/>
        <v>1.0000000000000002</v>
      </c>
    </row>
    <row r="145" spans="1:8" hidden="1" x14ac:dyDescent="0.2">
      <c r="A145" s="11">
        <f t="shared" si="18"/>
        <v>2016</v>
      </c>
      <c r="B145" t="s">
        <v>15</v>
      </c>
      <c r="C145" s="62">
        <f>(Indeks!C145/Indeks!$C$40*Indeks!$C$2)/Indeks!H145*100</f>
        <v>0.7406968498271741</v>
      </c>
      <c r="D145" s="62">
        <f>(Indeks!D145/Indeks!$D$40*Indeks!$D$2)/Indeks!H145*100</f>
        <v>6.338607063249789E-2</v>
      </c>
      <c r="E145" s="62">
        <f>(Indeks!E145/Indeks!$E$40*Indeks!$E$2)/Indeks!H145*100</f>
        <v>9.2325716742840278E-2</v>
      </c>
      <c r="F145" s="62">
        <f>(Indeks!F145/Indeks!$F$40*Indeks!$F$2)/Indeks!H145*100</f>
        <v>9.5130525927020815E-2</v>
      </c>
      <c r="G145" s="62">
        <f>(Indeks!G145/Indeks!$G$40*Indeks!$G$2)/Indeks!H145*100</f>
        <v>8.4608368704669184E-3</v>
      </c>
      <c r="H145" s="62">
        <f t="shared" si="17"/>
        <v>1</v>
      </c>
    </row>
    <row r="146" spans="1:8" hidden="1" x14ac:dyDescent="0.2">
      <c r="A146" s="11">
        <f t="shared" si="18"/>
        <v>2016</v>
      </c>
      <c r="B146" t="s">
        <v>16</v>
      </c>
      <c r="C146" s="62">
        <f>(Indeks!C146/Indeks!$C$40*Indeks!$C$2)/Indeks!H146*100</f>
        <v>0.7410277537377119</v>
      </c>
      <c r="D146" s="62">
        <f>(Indeks!D146/Indeks!$D$40*Indeks!$D$2)/Indeks!H146*100</f>
        <v>6.3936854791282846E-2</v>
      </c>
      <c r="E146" s="62">
        <f>(Indeks!E146/Indeks!$E$40*Indeks!$E$2)/Indeks!H146*100</f>
        <v>9.2366962956754284E-2</v>
      </c>
      <c r="F146" s="62">
        <f>(Indeks!F146/Indeks!$F$40*Indeks!$F$2)/Indeks!H146*100</f>
        <v>9.5261888882638673E-2</v>
      </c>
      <c r="G146" s="62">
        <f>(Indeks!G146/Indeks!$G$40*Indeks!$G$2)/Indeks!H146*100</f>
        <v>7.4065396316123668E-3</v>
      </c>
      <c r="H146" s="62">
        <f t="shared" si="17"/>
        <v>1</v>
      </c>
    </row>
    <row r="147" spans="1:8" ht="13.5" hidden="1" thickBot="1" x14ac:dyDescent="0.25">
      <c r="A147" s="31">
        <f t="shared" si="18"/>
        <v>2016</v>
      </c>
      <c r="B147" s="32" t="s">
        <v>17</v>
      </c>
      <c r="C147" s="65">
        <f>(Indeks!C147/Indeks!$C$40*Indeks!$C$2)/Indeks!H147*100</f>
        <v>0.73720732365836505</v>
      </c>
      <c r="D147" s="65">
        <f>(Indeks!D147/Indeks!$D$40*Indeks!$D$2)/Indeks!H147*100</f>
        <v>6.5816258355401031E-2</v>
      </c>
      <c r="E147" s="65">
        <f>(Indeks!E147/Indeks!$E$40*Indeks!$E$2)/Indeks!H147*100</f>
        <v>9.2074172099520304E-2</v>
      </c>
      <c r="F147" s="65">
        <f>(Indeks!F147/Indeks!$F$40*Indeks!$F$2)/Indeks!H147*100</f>
        <v>9.477075830909816E-2</v>
      </c>
      <c r="G147" s="65">
        <f>(Indeks!G147/Indeks!$G$40*Indeks!$G$2)/Indeks!H147*100</f>
        <v>1.013148757761561E-2</v>
      </c>
      <c r="H147" s="65">
        <f t="shared" si="17"/>
        <v>1.0000000000000002</v>
      </c>
    </row>
    <row r="148" spans="1:8" hidden="1" x14ac:dyDescent="0.2">
      <c r="A148" s="2">
        <v>2017</v>
      </c>
      <c r="B148" t="s">
        <v>7</v>
      </c>
      <c r="C148" s="62">
        <f>(Indeks!C148/Indeks!$C$40*Indeks!$C$2)/Indeks!H148*100</f>
        <v>0.73710918865597419</v>
      </c>
      <c r="D148" s="62">
        <f>(Indeks!D148/Indeks!$D$40*Indeks!$D$2)/Indeks!H148*100</f>
        <v>6.6655500399766462E-2</v>
      </c>
      <c r="E148" s="62">
        <f>(Indeks!E148/Indeks!$E$40*Indeks!$E$2)/Indeks!H148*100</f>
        <v>9.1617843982176372E-2</v>
      </c>
      <c r="F148" s="62">
        <f>(Indeks!F148/Indeks!$F$40*Indeks!$F$2)/Indeks!H148*100</f>
        <v>9.4395084669596202E-2</v>
      </c>
      <c r="G148" s="62">
        <f>(Indeks!G148/Indeks!$G$40*Indeks!$G$2)/Indeks!H148*100</f>
        <v>1.0222382292486627E-2</v>
      </c>
      <c r="H148" s="62">
        <f t="shared" ref="H148:H159" si="19">SUM(C148:G148)</f>
        <v>0.99999999999999989</v>
      </c>
    </row>
    <row r="149" spans="1:8" hidden="1" x14ac:dyDescent="0.2">
      <c r="A149" s="11">
        <f>A148</f>
        <v>2017</v>
      </c>
      <c r="B149" t="s">
        <v>8</v>
      </c>
      <c r="C149" s="62">
        <f>(Indeks!C149/Indeks!$C$40*Indeks!$C$2)/Indeks!H149*100</f>
        <v>0.73765751606729768</v>
      </c>
      <c r="D149" s="62">
        <f>(Indeks!D149/Indeks!$D$40*Indeks!$D$2)/Indeks!H149*100</f>
        <v>6.6705084692768313E-2</v>
      </c>
      <c r="E149" s="62">
        <f>(Indeks!E149/Indeks!$E$40*Indeks!$E$2)/Indeks!H149*100</f>
        <v>9.1685997487783027E-2</v>
      </c>
      <c r="F149" s="62">
        <f>(Indeks!F149/Indeks!$F$40*Indeks!$F$2)/Indeks!H149*100</f>
        <v>9.4377183514450333E-2</v>
      </c>
      <c r="G149" s="62">
        <f>(Indeks!G149/Indeks!$G$40*Indeks!$G$2)/Indeks!H149*100</f>
        <v>9.574218237700511E-3</v>
      </c>
      <c r="H149" s="62">
        <f t="shared" si="19"/>
        <v>0.99999999999999989</v>
      </c>
    </row>
    <row r="150" spans="1:8" hidden="1" x14ac:dyDescent="0.2">
      <c r="A150" s="13">
        <f t="shared" ref="A150:A159" si="20">A149</f>
        <v>2017</v>
      </c>
      <c r="B150" s="14" t="s">
        <v>9</v>
      </c>
      <c r="C150" s="63">
        <f>(Indeks!C150/Indeks!$C$40*Indeks!$C$2)/Indeks!H150*100</f>
        <v>0.73845336431807873</v>
      </c>
      <c r="D150" s="63">
        <f>(Indeks!D150/Indeks!$D$40*Indeks!$D$2)/Indeks!H150*100</f>
        <v>6.3989272029163102E-2</v>
      </c>
      <c r="E150" s="63">
        <f>(Indeks!E150/Indeks!$E$40*Indeks!$E$2)/Indeks!H150*100</f>
        <v>9.1784916212438325E-2</v>
      </c>
      <c r="F150" s="63">
        <f>(Indeks!F150/Indeks!$F$40*Indeks!$F$2)/Indeks!H150*100</f>
        <v>9.4743652796460076E-2</v>
      </c>
      <c r="G150" s="63">
        <f>(Indeks!G150/Indeks!$G$40*Indeks!$G$2)/Indeks!H150*100</f>
        <v>1.1028794643859509E-2</v>
      </c>
      <c r="H150" s="63">
        <f t="shared" si="19"/>
        <v>0.99999999999999989</v>
      </c>
    </row>
    <row r="151" spans="1:8" hidden="1" x14ac:dyDescent="0.2">
      <c r="A151" s="11">
        <f t="shared" si="20"/>
        <v>2017</v>
      </c>
      <c r="B151" t="s">
        <v>10</v>
      </c>
      <c r="C151" s="62">
        <f>(Indeks!C151/Indeks!$C$40*Indeks!$C$2)/Indeks!H151*100</f>
        <v>0.73931439271686128</v>
      </c>
      <c r="D151" s="62">
        <f>(Indeks!D151/Indeks!$D$40*Indeks!$D$2)/Indeks!H151*100</f>
        <v>6.3770684259393903E-2</v>
      </c>
      <c r="E151" s="62">
        <f>(Indeks!E151/Indeks!$E$40*Indeks!$E$2)/Indeks!H151*100</f>
        <v>9.2200960621102265E-2</v>
      </c>
      <c r="F151" s="62">
        <f>(Indeks!F151/Indeks!$F$40*Indeks!$F$2)/Indeks!H151*100</f>
        <v>9.4507922208044076E-2</v>
      </c>
      <c r="G151" s="62">
        <f>(Indeks!G151/Indeks!$G$40*Indeks!$G$2)/Indeks!H151*100</f>
        <v>1.0206040194598571E-2</v>
      </c>
      <c r="H151" s="62">
        <f t="shared" si="19"/>
        <v>1</v>
      </c>
    </row>
    <row r="152" spans="1:8" hidden="1" x14ac:dyDescent="0.2">
      <c r="A152" s="11">
        <f t="shared" si="20"/>
        <v>2017</v>
      </c>
      <c r="B152" t="s">
        <v>11</v>
      </c>
      <c r="C152" s="62">
        <f>(Indeks!C152/Indeks!$C$40*Indeks!$C$2)/Indeks!H152*100</f>
        <v>0.74005182341794484</v>
      </c>
      <c r="D152" s="62">
        <f>(Indeks!D152/Indeks!$D$40*Indeks!$D$2)/Indeks!H152*100</f>
        <v>6.3834292462974479E-2</v>
      </c>
      <c r="E152" s="62">
        <f>(Indeks!E152/Indeks!$E$40*Indeks!$E$2)/Indeks!H152*100</f>
        <v>9.2384215414241452E-2</v>
      </c>
      <c r="F152" s="62">
        <f>(Indeks!F152/Indeks!$F$40*Indeks!$F$2)/Indeks!H152*100</f>
        <v>9.4954197480837735E-2</v>
      </c>
      <c r="G152" s="62">
        <f>(Indeks!G152/Indeks!$G$40*Indeks!$G$2)/Indeks!H152*100</f>
        <v>8.7754712240014025E-3</v>
      </c>
      <c r="H152" s="62">
        <f t="shared" si="19"/>
        <v>0.99999999999999989</v>
      </c>
    </row>
    <row r="153" spans="1:8" hidden="1" x14ac:dyDescent="0.2">
      <c r="A153" s="13">
        <f t="shared" si="20"/>
        <v>2017</v>
      </c>
      <c r="B153" s="14" t="s">
        <v>12</v>
      </c>
      <c r="C153" s="63">
        <f>(Indeks!C153/Indeks!$C$40*Indeks!$C$2)/Indeks!H153*100</f>
        <v>0.74210108967480537</v>
      </c>
      <c r="D153" s="63">
        <f>(Indeks!D153/Indeks!$D$40*Indeks!$D$2)/Indeks!H153*100</f>
        <v>6.0184659645152669E-2</v>
      </c>
      <c r="E153" s="63">
        <f>(Indeks!E153/Indeks!$E$40*Indeks!$E$2)/Indeks!H153*100</f>
        <v>9.2823118214483788E-2</v>
      </c>
      <c r="F153" s="63">
        <f>(Indeks!F153/Indeks!$F$40*Indeks!$F$2)/Indeks!H153*100</f>
        <v>9.5040642262575983E-2</v>
      </c>
      <c r="G153" s="63">
        <f>(Indeks!G153/Indeks!$G$40*Indeks!$G$2)/Indeks!H153*100</f>
        <v>9.8504902029822525E-3</v>
      </c>
      <c r="H153" s="63">
        <f t="shared" si="19"/>
        <v>1</v>
      </c>
    </row>
    <row r="154" spans="1:8" hidden="1" x14ac:dyDescent="0.2">
      <c r="A154" s="11">
        <f t="shared" si="20"/>
        <v>2017</v>
      </c>
      <c r="B154" t="s">
        <v>30</v>
      </c>
      <c r="C154" s="62">
        <f>(Indeks!C154/Indeks!$C$40*Indeks!$C$2)/Indeks!H154*100</f>
        <v>0.74381021313147522</v>
      </c>
      <c r="D154" s="62">
        <f>(Indeks!D154/Indeks!$D$40*Indeks!$D$2)/Indeks!H154*100</f>
        <v>5.8564167947962778E-2</v>
      </c>
      <c r="E154" s="62">
        <f>(Indeks!E154/Indeks!$E$40*Indeks!$E$2)/Indeks!H154*100</f>
        <v>9.2732942048345188E-2</v>
      </c>
      <c r="F154" s="62">
        <f>(Indeks!F154/Indeks!$F$40*Indeks!$F$2)/Indeks!H154*100</f>
        <v>9.5042041631591315E-2</v>
      </c>
      <c r="G154" s="62">
        <f>(Indeks!G154/Indeks!$G$40*Indeks!$G$2)/Indeks!H154*100</f>
        <v>9.8506352406255993E-3</v>
      </c>
      <c r="H154" s="62">
        <f t="shared" si="19"/>
        <v>1.0000000000000002</v>
      </c>
    </row>
    <row r="155" spans="1:8" hidden="1" x14ac:dyDescent="0.2">
      <c r="A155" s="11">
        <f t="shared" si="20"/>
        <v>2017</v>
      </c>
      <c r="B155" t="s">
        <v>13</v>
      </c>
      <c r="C155" s="62">
        <f>(Indeks!C155/Indeks!$C$40*Indeks!$C$2)/Indeks!H155*100</f>
        <v>0.74462716226003411</v>
      </c>
      <c r="D155" s="62">
        <f>(Indeks!D155/Indeks!$D$40*Indeks!$D$2)/Indeks!H155*100</f>
        <v>5.8628490735046369E-2</v>
      </c>
      <c r="E155" s="62">
        <f>(Indeks!E155/Indeks!$E$40*Indeks!$E$2)/Indeks!H155*100</f>
        <v>9.2743149998860075E-2</v>
      </c>
      <c r="F155" s="62">
        <f>(Indeks!F155/Indeks!$F$40*Indeks!$F$2)/Indeks!H155*100</f>
        <v>9.5323117055223408E-2</v>
      </c>
      <c r="G155" s="62">
        <f>(Indeks!G155/Indeks!$G$40*Indeks!$G$2)/Indeks!H155*100</f>
        <v>8.6780799508361772E-3</v>
      </c>
      <c r="H155" s="62">
        <f t="shared" si="19"/>
        <v>1.0000000000000002</v>
      </c>
    </row>
    <row r="156" spans="1:8" hidden="1" x14ac:dyDescent="0.2">
      <c r="A156" s="13">
        <f t="shared" si="20"/>
        <v>2017</v>
      </c>
      <c r="B156" s="14" t="s">
        <v>14</v>
      </c>
      <c r="C156" s="63">
        <f>(Indeks!C156/Indeks!$C$40*Indeks!$C$2)/Indeks!H156*100</f>
        <v>0.74404650168999709</v>
      </c>
      <c r="D156" s="63">
        <f>(Indeks!D156/Indeks!$D$40*Indeks!$D$2)/Indeks!H156*100</f>
        <v>5.8582772213649312E-2</v>
      </c>
      <c r="E156" s="63">
        <f>(Indeks!E156/Indeks!$E$40*Indeks!$E$2)/Indeks!H156*100</f>
        <v>9.3403404574167057E-2</v>
      </c>
      <c r="F156" s="63">
        <f>(Indeks!F156/Indeks!$F$40*Indeks!$F$2)/Indeks!H156*100</f>
        <v>9.5690159322627588E-2</v>
      </c>
      <c r="G156" s="63">
        <f>(Indeks!G156/Indeks!$G$40*Indeks!$G$2)/Indeks!H156*100</f>
        <v>8.2771621995590561E-3</v>
      </c>
      <c r="H156" s="63">
        <f t="shared" si="19"/>
        <v>1</v>
      </c>
    </row>
    <row r="157" spans="1:8" hidden="1" x14ac:dyDescent="0.2">
      <c r="A157" s="11">
        <f t="shared" si="20"/>
        <v>2017</v>
      </c>
      <c r="B157" t="s">
        <v>15</v>
      </c>
      <c r="C157" s="62">
        <f>(Indeks!C157/Indeks!$C$40*Indeks!$C$2)/Indeks!H157*100</f>
        <v>0.7460557878411368</v>
      </c>
      <c r="D157" s="62">
        <f>(Indeks!D157/Indeks!$D$40*Indeks!$D$2)/Indeks!H157*100</f>
        <v>5.8385506773594706E-2</v>
      </c>
      <c r="E157" s="62">
        <f>(Indeks!E157/Indeks!$E$40*Indeks!$E$2)/Indeks!H157*100</f>
        <v>9.2815096967697908E-2</v>
      </c>
      <c r="F157" s="62">
        <f>(Indeks!F157/Indeks!$F$40*Indeks!$F$2)/Indeks!H157*100</f>
        <v>9.5279964579612325E-2</v>
      </c>
      <c r="G157" s="62">
        <f>(Indeks!G157/Indeks!$G$40*Indeks!$G$2)/Indeks!H157*100</f>
        <v>7.4636438379584299E-3</v>
      </c>
      <c r="H157" s="62">
        <f t="shared" si="19"/>
        <v>1.0000000000000002</v>
      </c>
    </row>
    <row r="158" spans="1:8" hidden="1" x14ac:dyDescent="0.2">
      <c r="A158" s="11">
        <f t="shared" si="20"/>
        <v>2017</v>
      </c>
      <c r="B158" t="s">
        <v>16</v>
      </c>
      <c r="C158" s="62">
        <f>(Indeks!C158/Indeks!$C$40*Indeks!$C$2)/Indeks!H158*100</f>
        <v>0.74583567787494676</v>
      </c>
      <c r="D158" s="62">
        <f>(Indeks!D158/Indeks!$D$40*Indeks!$D$2)/Indeks!H158*100</f>
        <v>5.9402492172059888E-2</v>
      </c>
      <c r="E158" s="62">
        <f>(Indeks!E158/Indeks!$E$40*Indeks!$E$2)/Indeks!H158*100</f>
        <v>9.2878950279280961E-2</v>
      </c>
      <c r="F158" s="62">
        <f>(Indeks!F158/Indeks!$F$40*Indeks!$F$2)/Indeks!H158*100</f>
        <v>9.5075950286909947E-2</v>
      </c>
      <c r="G158" s="62">
        <f>(Indeks!G158/Indeks!$G$40*Indeks!$G$2)/Indeks!H158*100</f>
        <v>6.8069293868025195E-3</v>
      </c>
      <c r="H158" s="62">
        <f t="shared" si="19"/>
        <v>1</v>
      </c>
    </row>
    <row r="159" spans="1:8" ht="13.5" hidden="1" thickBot="1" x14ac:dyDescent="0.25">
      <c r="A159" s="31">
        <f t="shared" si="20"/>
        <v>2017</v>
      </c>
      <c r="B159" s="32" t="s">
        <v>17</v>
      </c>
      <c r="C159" s="65">
        <f>(Indeks!C159/Indeks!$C$40*Indeks!$C$2)/Indeks!H159*100</f>
        <v>0.74161099857491108</v>
      </c>
      <c r="D159" s="65">
        <f>(Indeks!D159/Indeks!$D$40*Indeks!$D$2)/Indeks!H159*100</f>
        <v>6.2858066303727311E-2</v>
      </c>
      <c r="E159" s="65">
        <f>(Indeks!E159/Indeks!$E$40*Indeks!$E$2)/Indeks!H159*100</f>
        <v>9.2443570670056513E-2</v>
      </c>
      <c r="F159" s="65">
        <f>(Indeks!F159/Indeks!$F$40*Indeks!$F$2)/Indeks!H159*100</f>
        <v>9.488722083233303E-2</v>
      </c>
      <c r="G159" s="65">
        <f>(Indeks!G159/Indeks!$G$40*Indeks!$G$2)/Indeks!H159*100</f>
        <v>8.200143618972186E-3</v>
      </c>
      <c r="H159" s="65">
        <f t="shared" si="19"/>
        <v>1</v>
      </c>
    </row>
    <row r="160" spans="1:8" hidden="1" x14ac:dyDescent="0.2">
      <c r="A160" s="2">
        <v>2018</v>
      </c>
      <c r="B160" t="s">
        <v>7</v>
      </c>
      <c r="C160" s="62">
        <f>(Indeks!C160/Indeks!$C$40*Indeks!$C$2)/Indeks!H160*100</f>
        <v>0.74311705433407094</v>
      </c>
      <c r="D160" s="62">
        <f>(Indeks!D160/Indeks!$D$40*Indeks!$D$2)/Indeks!H160*100</f>
        <v>6.1564887488482233E-2</v>
      </c>
      <c r="E160" s="62">
        <f>(Indeks!E160/Indeks!$E$40*Indeks!$E$2)/Indeks!H160*100</f>
        <v>9.1872128103637596E-2</v>
      </c>
      <c r="F160" s="62">
        <f>(Indeks!F160/Indeks!$F$40*Indeks!$F$2)/Indeks!H160*100</f>
        <v>9.4753459032267798E-2</v>
      </c>
      <c r="G160" s="62">
        <f>(Indeks!G160/Indeks!$G$40*Indeks!$G$2)/Indeks!H160*100</f>
        <v>8.6924710415416072E-3</v>
      </c>
      <c r="H160" s="62">
        <f t="shared" ref="H160:H171" si="21">SUM(C160:G160)</f>
        <v>1.0000000000000002</v>
      </c>
    </row>
    <row r="161" spans="1:8" hidden="1" x14ac:dyDescent="0.2">
      <c r="A161" s="11">
        <f>A160</f>
        <v>2018</v>
      </c>
      <c r="B161" t="s">
        <v>8</v>
      </c>
      <c r="C161" s="62">
        <f>(Indeks!C161/Indeks!$C$40*Indeks!$C$2)/Indeks!H161*100</f>
        <v>0.74737006083143454</v>
      </c>
      <c r="D161" s="62">
        <f>(Indeks!D161/Indeks!$D$40*Indeks!$D$2)/Indeks!H161*100</f>
        <v>5.7600425179236608E-2</v>
      </c>
      <c r="E161" s="62">
        <f>(Indeks!E161/Indeks!$E$40*Indeks!$E$2)/Indeks!H161*100</f>
        <v>9.212510200504842E-2</v>
      </c>
      <c r="F161" s="62">
        <f>(Indeks!F161/Indeks!$F$40*Indeks!$F$2)/Indeks!H161*100</f>
        <v>9.4945077557912025E-2</v>
      </c>
      <c r="G161" s="62">
        <f>(Indeks!G161/Indeks!$G$40*Indeks!$G$2)/Indeks!H161*100</f>
        <v>7.9593344263684199E-3</v>
      </c>
      <c r="H161" s="62">
        <f t="shared" si="21"/>
        <v>1</v>
      </c>
    </row>
    <row r="162" spans="1:8" hidden="1" x14ac:dyDescent="0.2">
      <c r="A162" s="13">
        <f t="shared" ref="A162:A171" si="22">A161</f>
        <v>2018</v>
      </c>
      <c r="B162" s="14" t="s">
        <v>9</v>
      </c>
      <c r="C162" s="63">
        <f>(Indeks!C162/Indeks!$C$40*Indeks!$C$2)/Indeks!H162*100</f>
        <v>0.7434216436300648</v>
      </c>
      <c r="D162" s="63">
        <f>(Indeks!D162/Indeks!$D$40*Indeks!$D$2)/Indeks!H162*100</f>
        <v>5.9731522856966902E-2</v>
      </c>
      <c r="E162" s="63">
        <f>(Indeks!E162/Indeks!$E$40*Indeks!$E$2)/Indeks!H162*100</f>
        <v>9.1367010391414066E-2</v>
      </c>
      <c r="F162" s="63">
        <f>(Indeks!F162/Indeks!$F$40*Indeks!$F$2)/Indeks!H162*100</f>
        <v>9.4966707490360083E-2</v>
      </c>
      <c r="G162" s="63">
        <f>(Indeks!G162/Indeks!$G$40*Indeks!$G$2)/Indeks!H162*100</f>
        <v>1.0513115631194231E-2</v>
      </c>
      <c r="H162" s="63">
        <f t="shared" si="21"/>
        <v>1</v>
      </c>
    </row>
    <row r="163" spans="1:8" hidden="1" x14ac:dyDescent="0.2">
      <c r="A163" s="11">
        <f t="shared" si="22"/>
        <v>2018</v>
      </c>
      <c r="B163" t="s">
        <v>10</v>
      </c>
      <c r="C163" s="62">
        <f>(Indeks!C163/Indeks!$C$40*Indeks!$C$2)/Indeks!H163*100</f>
        <v>0.74398794230847176</v>
      </c>
      <c r="D163" s="62">
        <f>(Indeks!D163/Indeks!$D$40*Indeks!$D$2)/Indeks!H163*100</f>
        <v>5.9552971312051034E-2</v>
      </c>
      <c r="E163" s="62">
        <f>(Indeks!E163/Indeks!$E$40*Indeks!$E$2)/Indeks!H163*100</f>
        <v>9.1725236759738676E-2</v>
      </c>
      <c r="F163" s="62">
        <f>(Indeks!F163/Indeks!$F$40*Indeks!$F$2)/Indeks!H163*100</f>
        <v>9.4769774453659097E-2</v>
      </c>
      <c r="G163" s="62">
        <f>(Indeks!G163/Indeks!$G$40*Indeks!$G$2)/Indeks!H163*100</f>
        <v>9.9640751660795297E-3</v>
      </c>
      <c r="H163" s="62">
        <f t="shared" si="21"/>
        <v>1</v>
      </c>
    </row>
    <row r="164" spans="1:8" hidden="1" x14ac:dyDescent="0.2">
      <c r="A164" s="11">
        <f t="shared" si="22"/>
        <v>2018</v>
      </c>
      <c r="B164" t="s">
        <v>11</v>
      </c>
      <c r="C164" s="62">
        <f>(Indeks!C164/Indeks!$C$40*Indeks!$C$2)/Indeks!H164*100</f>
        <v>0.74505327110819608</v>
      </c>
      <c r="D164" s="62">
        <f>(Indeks!D164/Indeks!$D$40*Indeks!$D$2)/Indeks!H164*100</f>
        <v>6.0150162485927937E-2</v>
      </c>
      <c r="E164" s="62">
        <f>(Indeks!E164/Indeks!$E$40*Indeks!$E$2)/Indeks!H164*100</f>
        <v>9.1856579663063806E-2</v>
      </c>
      <c r="F164" s="62">
        <f>(Indeks!F164/Indeks!$F$40*Indeks!$F$2)/Indeks!H164*100</f>
        <v>9.490547688151782E-2</v>
      </c>
      <c r="G164" s="62">
        <f>(Indeks!G164/Indeks!$G$40*Indeks!$G$2)/Indeks!H164*100</f>
        <v>8.0345098612944303E-3</v>
      </c>
      <c r="H164" s="62">
        <f t="shared" si="21"/>
        <v>1.0000000000000002</v>
      </c>
    </row>
    <row r="165" spans="1:8" hidden="1" x14ac:dyDescent="0.2">
      <c r="A165" s="13">
        <f t="shared" si="22"/>
        <v>2018</v>
      </c>
      <c r="B165" s="14" t="s">
        <v>12</v>
      </c>
      <c r="C165" s="63">
        <f>(Indeks!C165/Indeks!$C$40*Indeks!$C$2)/Indeks!H165*100</f>
        <v>0.74287751300900462</v>
      </c>
      <c r="D165" s="63">
        <f>(Indeks!D165/Indeks!$D$40*Indeks!$D$2)/Indeks!H165*100</f>
        <v>6.0548731668761478E-2</v>
      </c>
      <c r="E165" s="63">
        <f>(Indeks!E165/Indeks!$E$40*Indeks!$E$2)/Indeks!H165*100</f>
        <v>9.2038620270572177E-2</v>
      </c>
      <c r="F165" s="63">
        <f>(Indeks!F165/Indeks!$F$40*Indeks!$F$2)/Indeks!H165*100</f>
        <v>9.471514206733557E-2</v>
      </c>
      <c r="G165" s="63">
        <f>(Indeks!G165/Indeks!$G$40*Indeks!$G$2)/Indeks!H165*100</f>
        <v>9.8199929843259745E-3</v>
      </c>
      <c r="H165" s="63">
        <f t="shared" si="21"/>
        <v>0.99999999999999989</v>
      </c>
    </row>
    <row r="166" spans="1:8" hidden="1" x14ac:dyDescent="0.2">
      <c r="A166" s="11">
        <f t="shared" si="22"/>
        <v>2018</v>
      </c>
      <c r="B166" t="s">
        <v>30</v>
      </c>
      <c r="C166" s="62">
        <f>(Indeks!C166/Indeks!$C$40*Indeks!$C$2)/Indeks!H166*100</f>
        <v>0.74507075566898162</v>
      </c>
      <c r="D166" s="62">
        <f>(Indeks!D166/Indeks!$D$40*Indeks!$D$2)/Indeks!H166*100</f>
        <v>6.0455579238359827E-2</v>
      </c>
      <c r="E166" s="62">
        <f>(Indeks!E166/Indeks!$E$40*Indeks!$E$2)/Indeks!H166*100</f>
        <v>9.2076859194807001E-2</v>
      </c>
      <c r="F166" s="62">
        <f>(Indeks!F166/Indeks!$F$40*Indeks!$F$2)/Indeks!H166*100</f>
        <v>9.4656107043147905E-2</v>
      </c>
      <c r="G166" s="62">
        <f>(Indeks!G166/Indeks!$G$40*Indeks!$G$2)/Indeks!H166*100</f>
        <v>7.740698854703805E-3</v>
      </c>
      <c r="H166" s="62">
        <f t="shared" si="21"/>
        <v>1.0000000000000002</v>
      </c>
    </row>
    <row r="167" spans="1:8" hidden="1" x14ac:dyDescent="0.2">
      <c r="A167" s="11">
        <f t="shared" si="22"/>
        <v>2018</v>
      </c>
      <c r="B167" t="s">
        <v>13</v>
      </c>
      <c r="C167" s="62">
        <f>(Indeks!C167/Indeks!$C$40*Indeks!$C$2)/Indeks!H167*100</f>
        <v>0.74565000481660682</v>
      </c>
      <c r="D167" s="62">
        <f>(Indeks!D167/Indeks!$D$40*Indeks!$D$2)/Indeks!H167*100</f>
        <v>6.1586398540411778E-2</v>
      </c>
      <c r="E167" s="62">
        <f>(Indeks!E167/Indeks!$E$40*Indeks!$E$2)/Indeks!H167*100</f>
        <v>9.2058454879289583E-2</v>
      </c>
      <c r="F167" s="62">
        <f>(Indeks!F167/Indeks!$F$40*Indeks!$F$2)/Indeks!H167*100</f>
        <v>9.3862208592535148E-2</v>
      </c>
      <c r="G167" s="62">
        <f>(Indeks!G167/Indeks!$G$40*Indeks!$G$2)/Indeks!H167*100</f>
        <v>6.8429331711568663E-3</v>
      </c>
      <c r="H167" s="62">
        <f t="shared" si="21"/>
        <v>1.0000000000000002</v>
      </c>
    </row>
    <row r="168" spans="1:8" hidden="1" x14ac:dyDescent="0.2">
      <c r="A168" s="13">
        <f t="shared" si="22"/>
        <v>2018</v>
      </c>
      <c r="B168" s="14" t="s">
        <v>14</v>
      </c>
      <c r="C168" s="63">
        <f>(Indeks!C168/Indeks!$C$40*Indeks!$C$2)/Indeks!H168*100</f>
        <v>0.74338894696344915</v>
      </c>
      <c r="D168" s="63">
        <f>(Indeks!D168/Indeks!$D$40*Indeks!$D$2)/Indeks!H168*100</f>
        <v>6.1908133875255372E-2</v>
      </c>
      <c r="E168" s="63">
        <f>(Indeks!E168/Indeks!$E$40*Indeks!$E$2)/Indeks!H168*100</f>
        <v>9.2497029855356142E-2</v>
      </c>
      <c r="F168" s="63">
        <f>(Indeks!F168/Indeks!$F$40*Indeks!$F$2)/Indeks!H168*100</f>
        <v>9.4096501810986222E-2</v>
      </c>
      <c r="G168" s="63">
        <f>(Indeks!G168/Indeks!$G$40*Indeks!$G$2)/Indeks!H168*100</f>
        <v>8.1093874949532564E-3</v>
      </c>
      <c r="H168" s="63">
        <f t="shared" si="21"/>
        <v>1</v>
      </c>
    </row>
    <row r="169" spans="1:8" hidden="1" x14ac:dyDescent="0.2">
      <c r="A169" s="11">
        <f t="shared" si="22"/>
        <v>2018</v>
      </c>
      <c r="B169" t="s">
        <v>15</v>
      </c>
      <c r="C169" s="62">
        <f>(Indeks!C169/Indeks!$C$40*Indeks!$C$2)/Indeks!H169*100</f>
        <v>0.74324896222200354</v>
      </c>
      <c r="D169" s="62">
        <f>(Indeks!D169/Indeks!$D$40*Indeks!$D$2)/Indeks!H169*100</f>
        <v>6.3488579031000456E-2</v>
      </c>
      <c r="E169" s="62">
        <f>(Indeks!E169/Indeks!$E$40*Indeks!$E$2)/Indeks!H169*100</f>
        <v>9.1303175931248079E-2</v>
      </c>
      <c r="F169" s="62">
        <f>(Indeks!F169/Indeks!$F$40*Indeks!$F$2)/Indeks!H169*100</f>
        <v>9.3158062085297547E-2</v>
      </c>
      <c r="G169" s="62">
        <f>(Indeks!G169/Indeks!$G$40*Indeks!$G$2)/Indeks!H169*100</f>
        <v>8.8012207304505354E-3</v>
      </c>
      <c r="H169" s="62">
        <f t="shared" si="21"/>
        <v>1.0000000000000002</v>
      </c>
    </row>
    <row r="170" spans="1:8" hidden="1" x14ac:dyDescent="0.2">
      <c r="A170" s="11">
        <f t="shared" si="22"/>
        <v>2018</v>
      </c>
      <c r="B170" t="s">
        <v>16</v>
      </c>
      <c r="C170" s="62">
        <f>(Indeks!C170/Indeks!$C$40*Indeks!$C$2)/Indeks!H170*100</f>
        <v>0.74324832876147795</v>
      </c>
      <c r="D170" s="62">
        <f>(Indeks!D170/Indeks!$D$40*Indeks!$D$2)/Indeks!H170*100</f>
        <v>6.455926393214452E-2</v>
      </c>
      <c r="E170" s="62">
        <f>(Indeks!E170/Indeks!$E$40*Indeks!$E$2)/Indeks!H170*100</f>
        <v>9.103638994119323E-2</v>
      </c>
      <c r="F170" s="62">
        <f>(Indeks!F170/Indeks!$F$40*Indeks!$F$2)/Indeks!H170*100</f>
        <v>9.3757896099979726E-2</v>
      </c>
      <c r="G170" s="62">
        <f>(Indeks!G170/Indeks!$G$40*Indeks!$G$2)/Indeks!H170*100</f>
        <v>7.3981212652046713E-3</v>
      </c>
      <c r="H170" s="62">
        <f t="shared" si="21"/>
        <v>1</v>
      </c>
    </row>
    <row r="171" spans="1:8" ht="13.5" hidden="1" thickBot="1" x14ac:dyDescent="0.25">
      <c r="A171" s="31">
        <f t="shared" si="22"/>
        <v>2018</v>
      </c>
      <c r="B171" s="32" t="s">
        <v>17</v>
      </c>
      <c r="C171" s="65">
        <f>(Indeks!C171/Indeks!$C$40*Indeks!$C$2)/Indeks!H171*100</f>
        <v>0.74160701348045521</v>
      </c>
      <c r="D171" s="65">
        <f>(Indeks!D171/Indeks!$D$40*Indeks!$D$2)/Indeks!H171*100</f>
        <v>6.5422226649758677E-2</v>
      </c>
      <c r="E171" s="65">
        <f>(Indeks!E171/Indeks!$E$40*Indeks!$E$2)/Indeks!H171*100</f>
        <v>9.1101473483697404E-2</v>
      </c>
      <c r="F171" s="65">
        <f>(Indeks!F171/Indeks!$F$40*Indeks!$F$2)/Indeks!H171*100</f>
        <v>9.3978413840726763E-2</v>
      </c>
      <c r="G171" s="65">
        <f>(Indeks!G171/Indeks!$G$40*Indeks!$G$2)/Indeks!H171*100</f>
        <v>7.8908725453620578E-3</v>
      </c>
      <c r="H171" s="65">
        <f t="shared" si="21"/>
        <v>1.0000000000000002</v>
      </c>
    </row>
    <row r="172" spans="1:8" hidden="1" x14ac:dyDescent="0.2">
      <c r="A172" s="2">
        <v>2019</v>
      </c>
      <c r="B172" t="s">
        <v>7</v>
      </c>
      <c r="C172" s="62">
        <f>(Indeks!C172/Indeks!$C$40*Indeks!$C$2)/Indeks!H172*100</f>
        <v>0.74255739899796813</v>
      </c>
      <c r="D172" s="62">
        <f>(Indeks!D172/Indeks!$D$40*Indeks!$D$2)/Indeks!H172*100</f>
        <v>6.5216643681208206E-2</v>
      </c>
      <c r="E172" s="62">
        <f>(Indeks!E172/Indeks!$E$40*Indeks!$E$2)/Indeks!H172*100</f>
        <v>9.0549913037357724E-2</v>
      </c>
      <c r="F172" s="62">
        <f>(Indeks!F172/Indeks!$F$40*Indeks!$F$2)/Indeks!H172*100</f>
        <v>9.3683095838169708E-2</v>
      </c>
      <c r="G172" s="62">
        <f>(Indeks!G172/Indeks!$G$40*Indeks!$G$2)/Indeks!H172*100</f>
        <v>7.992948445296251E-3</v>
      </c>
      <c r="H172" s="62">
        <f t="shared" ref="H172:H183" si="23">SUM(C172:G172)</f>
        <v>1</v>
      </c>
    </row>
    <row r="173" spans="1:8" hidden="1" x14ac:dyDescent="0.2">
      <c r="A173" s="11">
        <f>A172</f>
        <v>2019</v>
      </c>
      <c r="B173" t="s">
        <v>8</v>
      </c>
      <c r="C173" s="62">
        <f>(Indeks!C173/Indeks!$C$40*Indeks!$C$2)/Indeks!H173*100</f>
        <v>0.74288112492895675</v>
      </c>
      <c r="D173" s="62">
        <f>(Indeks!D173/Indeks!$D$40*Indeks!$D$2)/Indeks!H173*100</f>
        <v>6.5245075582526749E-2</v>
      </c>
      <c r="E173" s="62">
        <f>(Indeks!E173/Indeks!$E$40*Indeks!$E$2)/Indeks!H173*100</f>
        <v>9.0323990650181499E-2</v>
      </c>
      <c r="F173" s="62">
        <f>(Indeks!F173/Indeks!$F$40*Indeks!$F$2)/Indeks!H173*100</f>
        <v>9.3553375780697182E-2</v>
      </c>
      <c r="G173" s="62">
        <f>(Indeks!G173/Indeks!$G$40*Indeks!$G$2)/Indeks!H173*100</f>
        <v>7.99643305763772E-3</v>
      </c>
      <c r="H173" s="62">
        <f t="shared" si="23"/>
        <v>1</v>
      </c>
    </row>
    <row r="174" spans="1:8" hidden="1" x14ac:dyDescent="0.2">
      <c r="A174" s="13">
        <f t="shared" ref="A174:A183" si="24">A173</f>
        <v>2019</v>
      </c>
      <c r="B174" s="14" t="s">
        <v>9</v>
      </c>
      <c r="C174" s="63">
        <f>(Indeks!C174/Indeks!$C$40*Indeks!$C$2)/Indeks!H174*100</f>
        <v>0.74490612057679351</v>
      </c>
      <c r="D174" s="63">
        <f>(Indeks!D174/Indeks!$D$40*Indeks!$D$2)/Indeks!H174*100</f>
        <v>6.2154921085492545E-2</v>
      </c>
      <c r="E174" s="63">
        <f>(Indeks!E174/Indeks!$E$40*Indeks!$E$2)/Indeks!H174*100</f>
        <v>9.0747616592134442E-2</v>
      </c>
      <c r="F174" s="63">
        <f>(Indeks!F174/Indeks!$F$40*Indeks!$F$2)/Indeks!H174*100</f>
        <v>9.3536743987295431E-2</v>
      </c>
      <c r="G174" s="63">
        <f>(Indeks!G174/Indeks!$G$40*Indeks!$G$2)/Indeks!H174*100</f>
        <v>8.6545977582841785E-3</v>
      </c>
      <c r="H174" s="63">
        <f t="shared" si="23"/>
        <v>1.0000000000000002</v>
      </c>
    </row>
    <row r="175" spans="1:8" hidden="1" x14ac:dyDescent="0.2">
      <c r="A175" s="11">
        <f t="shared" si="24"/>
        <v>2019</v>
      </c>
      <c r="B175" t="s">
        <v>10</v>
      </c>
      <c r="C175" s="62">
        <f>(Indeks!C175/Indeks!$C$40*Indeks!$C$2)/Indeks!H175*100</f>
        <v>0.74606759581998505</v>
      </c>
      <c r="D175" s="62">
        <f>(Indeks!D175/Indeks!$D$40*Indeks!$D$2)/Indeks!H175*100</f>
        <v>6.2479338181115202E-2</v>
      </c>
      <c r="E175" s="62">
        <f>(Indeks!E175/Indeks!$E$40*Indeks!$E$2)/Indeks!H175*100</f>
        <v>9.0931581170083167E-2</v>
      </c>
      <c r="F175" s="62">
        <f>(Indeks!F175/Indeks!$F$40*Indeks!$F$2)/Indeks!H175*100</f>
        <v>9.3541367879304185E-2</v>
      </c>
      <c r="G175" s="62">
        <f>(Indeks!G175/Indeks!$G$40*Indeks!$G$2)/Indeks!H175*100</f>
        <v>6.9801169495123782E-3</v>
      </c>
      <c r="H175" s="62">
        <f t="shared" si="23"/>
        <v>1</v>
      </c>
    </row>
    <row r="176" spans="1:8" hidden="1" x14ac:dyDescent="0.2">
      <c r="A176" s="11">
        <f t="shared" si="24"/>
        <v>2019</v>
      </c>
      <c r="B176" t="s">
        <v>11</v>
      </c>
      <c r="C176" s="62">
        <f>(Indeks!C176/Indeks!$C$40*Indeks!$C$2)/Indeks!H176*100</f>
        <v>0.74870199913674895</v>
      </c>
      <c r="D176" s="62">
        <f>(Indeks!D176/Indeks!$D$40*Indeks!$D$2)/Indeks!H176*100</f>
        <v>5.8989527272102459E-2</v>
      </c>
      <c r="E176" s="62">
        <f>(Indeks!E176/Indeks!$E$40*Indeks!$E$2)/Indeks!H176*100</f>
        <v>9.1341432476322135E-2</v>
      </c>
      <c r="F176" s="62">
        <f>(Indeks!F176/Indeks!$F$40*Indeks!$F$2)/Indeks!H176*100</f>
        <v>9.3962277010892381E-2</v>
      </c>
      <c r="G176" s="62">
        <f>(Indeks!G176/Indeks!$G$40*Indeks!$G$2)/Indeks!H176*100</f>
        <v>7.0047641039340698E-3</v>
      </c>
      <c r="H176" s="62">
        <f t="shared" si="23"/>
        <v>0.99999999999999989</v>
      </c>
    </row>
    <row r="177" spans="1:8" hidden="1" x14ac:dyDescent="0.2">
      <c r="A177" s="13">
        <f t="shared" si="24"/>
        <v>2019</v>
      </c>
      <c r="B177" s="14" t="s">
        <v>12</v>
      </c>
      <c r="C177" s="63">
        <f>(Indeks!C177/Indeks!$C$40*Indeks!$C$2)/Indeks!H177*100</f>
        <v>0.74561371277137745</v>
      </c>
      <c r="D177" s="63">
        <f>(Indeks!D177/Indeks!$D$40*Indeks!$D$2)/Indeks!H177*100</f>
        <v>6.1376631138948708E-2</v>
      </c>
      <c r="E177" s="63">
        <f>(Indeks!E177/Indeks!$E$40*Indeks!$E$2)/Indeks!H177*100</f>
        <v>9.1229865509227223E-2</v>
      </c>
      <c r="F177" s="63">
        <f>(Indeks!F177/Indeks!$F$40*Indeks!$F$2)/Indeks!H177*100</f>
        <v>9.4296584070513889E-2</v>
      </c>
      <c r="G177" s="63">
        <f>(Indeks!G177/Indeks!$G$40*Indeks!$G$2)/Indeks!H177*100</f>
        <v>7.4832065099329215E-3</v>
      </c>
      <c r="H177" s="63">
        <f t="shared" si="23"/>
        <v>1.0000000000000002</v>
      </c>
    </row>
    <row r="178" spans="1:8" hidden="1" x14ac:dyDescent="0.2">
      <c r="A178" s="11">
        <f t="shared" si="24"/>
        <v>2019</v>
      </c>
      <c r="B178" t="s">
        <v>30</v>
      </c>
      <c r="C178" s="62">
        <f>(Indeks!C178/Indeks!$C$40*Indeks!$C$2)/Indeks!H178*100</f>
        <v>0.7495972468480282</v>
      </c>
      <c r="D178" s="62">
        <f>(Indeks!D178/Indeks!$D$40*Indeks!$D$2)/Indeks!H178*100</f>
        <v>5.6898827578122424E-2</v>
      </c>
      <c r="E178" s="62">
        <f>(Indeks!E178/Indeks!$E$40*Indeks!$E$2)/Indeks!H178*100</f>
        <v>9.149424331429365E-2</v>
      </c>
      <c r="F178" s="62">
        <f>(Indeks!F178/Indeks!$F$40*Indeks!$F$2)/Indeks!H178*100</f>
        <v>9.4752160584939848E-2</v>
      </c>
      <c r="G178" s="62">
        <f>(Indeks!G178/Indeks!$G$40*Indeks!$G$2)/Indeks!H178*100</f>
        <v>7.2575216746159302E-3</v>
      </c>
      <c r="H178" s="62">
        <f t="shared" si="23"/>
        <v>1.0000000000000002</v>
      </c>
    </row>
    <row r="179" spans="1:8" hidden="1" x14ac:dyDescent="0.2">
      <c r="A179" s="11">
        <f t="shared" si="24"/>
        <v>2019</v>
      </c>
      <c r="B179" t="s">
        <v>13</v>
      </c>
      <c r="C179" s="62">
        <f>(Indeks!C179/Indeks!$C$40*Indeks!$C$2)/Indeks!H179*100</f>
        <v>0.75160616920016787</v>
      </c>
      <c r="D179" s="62">
        <f>(Indeks!D179/Indeks!$D$40*Indeks!$D$2)/Indeks!H179*100</f>
        <v>5.6483955408159744E-2</v>
      </c>
      <c r="E179" s="62">
        <f>(Indeks!E179/Indeks!$E$40*Indeks!$E$2)/Indeks!H179*100</f>
        <v>9.1561486025643415E-2</v>
      </c>
      <c r="F179" s="62">
        <f>(Indeks!F179/Indeks!$F$40*Indeks!$F$2)/Indeks!H179*100</f>
        <v>9.5369408626925264E-2</v>
      </c>
      <c r="G179" s="62">
        <f>(Indeks!G179/Indeks!$G$40*Indeks!$G$2)/Indeks!H179*100</f>
        <v>4.9789807391037054E-3</v>
      </c>
      <c r="H179" s="62">
        <f t="shared" si="23"/>
        <v>1</v>
      </c>
    </row>
    <row r="180" spans="1:8" hidden="1" x14ac:dyDescent="0.2">
      <c r="A180" s="13">
        <f t="shared" si="24"/>
        <v>2019</v>
      </c>
      <c r="B180" s="14" t="s">
        <v>14</v>
      </c>
      <c r="C180" s="63">
        <f>(Indeks!C180/Indeks!$C$40*Indeks!$C$2)/Indeks!H180*100</f>
        <v>0.75404959273643779</v>
      </c>
      <c r="D180" s="63">
        <f>(Indeks!D180/Indeks!$D$40*Indeks!$D$2)/Indeks!H180*100</f>
        <v>5.4580493879466202E-2</v>
      </c>
      <c r="E180" s="63">
        <f>(Indeks!E180/Indeks!$E$40*Indeks!$E$2)/Indeks!H180*100</f>
        <v>9.2394768400506144E-2</v>
      </c>
      <c r="F180" s="63">
        <f>(Indeks!F180/Indeks!$F$40*Indeks!$F$2)/Indeks!H180*100</f>
        <v>9.5132708763036811E-2</v>
      </c>
      <c r="G180" s="63">
        <f>(Indeks!G180/Indeks!$G$40*Indeks!$G$2)/Indeks!H180*100</f>
        <v>3.8424362205531659E-3</v>
      </c>
      <c r="H180" s="63">
        <f t="shared" si="23"/>
        <v>1.0000000000000002</v>
      </c>
    </row>
    <row r="181" spans="1:8" hidden="1" x14ac:dyDescent="0.2">
      <c r="A181" s="11">
        <f t="shared" si="24"/>
        <v>2019</v>
      </c>
      <c r="B181" t="s">
        <v>15</v>
      </c>
      <c r="C181" s="62">
        <f>(Indeks!C181/Indeks!$C$40*Indeks!$C$2)/Indeks!H181*100</f>
        <v>0.75662810737919672</v>
      </c>
      <c r="D181" s="62">
        <f>(Indeks!D181/Indeks!$D$40*Indeks!$D$2)/Indeks!H181*100</f>
        <v>5.4793477365050254E-2</v>
      </c>
      <c r="E181" s="62">
        <f>(Indeks!E181/Indeks!$E$40*Indeks!$E$2)/Indeks!H181*100</f>
        <v>9.1548185144500929E-2</v>
      </c>
      <c r="F181" s="62">
        <f>(Indeks!F181/Indeks!$F$40*Indeks!$F$2)/Indeks!H181*100</f>
        <v>9.4354829942701168E-2</v>
      </c>
      <c r="G181" s="62">
        <f>(Indeks!G181/Indeks!$G$40*Indeks!$G$2)/Indeks!H181*100</f>
        <v>2.6754001685510755E-3</v>
      </c>
      <c r="H181" s="62">
        <f t="shared" si="23"/>
        <v>1.0000000000000002</v>
      </c>
    </row>
    <row r="182" spans="1:8" hidden="1" x14ac:dyDescent="0.2">
      <c r="A182" s="11">
        <f t="shared" si="24"/>
        <v>2019</v>
      </c>
      <c r="B182" t="s">
        <v>16</v>
      </c>
      <c r="C182" s="62">
        <f>(Indeks!C182/Indeks!$C$40*Indeks!$C$2)/Indeks!H182*100</f>
        <v>0.75760889709100421</v>
      </c>
      <c r="D182" s="62">
        <f>(Indeks!D182/Indeks!$D$40*Indeks!$D$2)/Indeks!H182*100</f>
        <v>5.3289748025157901E-2</v>
      </c>
      <c r="E182" s="62">
        <f>(Indeks!E182/Indeks!$E$40*Indeks!$E$2)/Indeks!H182*100</f>
        <v>9.1489034500609398E-2</v>
      </c>
      <c r="F182" s="62">
        <f>(Indeks!F182/Indeks!$F$40*Indeks!$F$2)/Indeks!H182*100</f>
        <v>9.4295626429687363E-2</v>
      </c>
      <c r="G182" s="62">
        <f>(Indeks!G182/Indeks!$G$40*Indeks!$G$2)/Indeks!H182*100</f>
        <v>3.3166939535410598E-3</v>
      </c>
      <c r="H182" s="62">
        <f t="shared" si="23"/>
        <v>1</v>
      </c>
    </row>
    <row r="183" spans="1:8" ht="13.5" hidden="1" thickBot="1" x14ac:dyDescent="0.25">
      <c r="A183" s="31">
        <f t="shared" si="24"/>
        <v>2019</v>
      </c>
      <c r="B183" s="32" t="s">
        <v>17</v>
      </c>
      <c r="C183" s="65">
        <f>(Indeks!C183/Indeks!$C$40*Indeks!$C$2)/Indeks!H183*100</f>
        <v>0.75235015453643672</v>
      </c>
      <c r="D183" s="65">
        <f>(Indeks!D183/Indeks!$D$40*Indeks!$D$2)/Indeks!H183*100</f>
        <v>5.8674728723391786E-2</v>
      </c>
      <c r="E183" s="65">
        <f>(Indeks!E183/Indeks!$E$40*Indeks!$E$2)/Indeks!H183*100</f>
        <v>9.1207161378518586E-2</v>
      </c>
      <c r="F183" s="65">
        <f>(Indeks!F183/Indeks!$F$40*Indeks!$F$2)/Indeks!H183*100</f>
        <v>9.3460845828029382E-2</v>
      </c>
      <c r="G183" s="65">
        <f>(Indeks!G183/Indeks!$G$40*Indeks!$G$2)/Indeks!H183*100</f>
        <v>4.3071095336236175E-3</v>
      </c>
      <c r="H183" s="65">
        <f t="shared" si="23"/>
        <v>1</v>
      </c>
    </row>
    <row r="184" spans="1:8" hidden="1" x14ac:dyDescent="0.2">
      <c r="A184" s="2">
        <v>2020</v>
      </c>
      <c r="B184" t="s">
        <v>7</v>
      </c>
      <c r="C184" s="62">
        <f>(Indeks!C184/Indeks!$C$40*Indeks!$C$2)/Indeks!H184*100</f>
        <v>0.75367206688543198</v>
      </c>
      <c r="D184" s="62">
        <f>(Indeks!D184/Indeks!$D$40*Indeks!$D$2)/Indeks!H184*100</f>
        <v>5.9497677839603913E-2</v>
      </c>
      <c r="E184" s="62">
        <f>(Indeks!E184/Indeks!$E$40*Indeks!$E$2)/Indeks!H184*100</f>
        <v>9.0664166949841057E-2</v>
      </c>
      <c r="F184" s="62">
        <f>(Indeks!F184/Indeks!$F$40*Indeks!$F$2)/Indeks!H184*100</f>
        <v>9.3264183079115007E-2</v>
      </c>
      <c r="G184" s="62">
        <f>(Indeks!G184/Indeks!$G$40*Indeks!$G$2)/Indeks!H184*100</f>
        <v>2.901905246008145E-3</v>
      </c>
      <c r="H184" s="62">
        <f t="shared" ref="H184:H195" si="25">SUM(C184:G184)</f>
        <v>1</v>
      </c>
    </row>
    <row r="185" spans="1:8" hidden="1" x14ac:dyDescent="0.2">
      <c r="A185" s="11">
        <f>A184</f>
        <v>2020</v>
      </c>
      <c r="B185" t="s">
        <v>8</v>
      </c>
      <c r="C185" s="62">
        <f>(Indeks!C185/Indeks!$C$40*Indeks!$C$2)/Indeks!H185*100</f>
        <v>0.75208156055149911</v>
      </c>
      <c r="D185" s="62">
        <f>(Indeks!D185/Indeks!$D$40*Indeks!$D$2)/Indeks!H185*100</f>
        <v>5.9931645157836139E-2</v>
      </c>
      <c r="E185" s="62">
        <f>(Indeks!E185/Indeks!$E$40*Indeks!$E$2)/Indeks!H185*100</f>
        <v>9.0297329474687327E-2</v>
      </c>
      <c r="F185" s="62">
        <f>(Indeks!F185/Indeks!$F$40*Indeks!$F$2)/Indeks!H185*100</f>
        <v>9.3156937671025661E-2</v>
      </c>
      <c r="G185" s="62">
        <f>(Indeks!G185/Indeks!$G$40*Indeks!$G$2)/Indeks!H185*100</f>
        <v>4.5325271449518298E-3</v>
      </c>
      <c r="H185" s="62">
        <f t="shared" si="25"/>
        <v>1</v>
      </c>
    </row>
    <row r="186" spans="1:8" hidden="1" x14ac:dyDescent="0.2">
      <c r="A186" s="13">
        <f t="shared" ref="A186:A195" si="26">A185</f>
        <v>2020</v>
      </c>
      <c r="B186" s="14" t="s">
        <v>9</v>
      </c>
      <c r="C186" s="63">
        <f>(Indeks!C186/Indeks!$C$40*Indeks!$C$2)/Indeks!H186*100</f>
        <v>0.75484082232707783</v>
      </c>
      <c r="D186" s="63">
        <f>(Indeks!D186/Indeks!$D$40*Indeks!$D$2)/Indeks!H186*100</f>
        <v>5.6470051401220099E-2</v>
      </c>
      <c r="E186" s="63">
        <f>(Indeks!E186/Indeks!$E$40*Indeks!$E$2)/Indeks!H186*100</f>
        <v>9.0716689768273989E-2</v>
      </c>
      <c r="F186" s="63">
        <f>(Indeks!F186/Indeks!$F$40*Indeks!$F$2)/Indeks!H186*100</f>
        <v>9.4307838428549923E-2</v>
      </c>
      <c r="G186" s="63">
        <f>(Indeks!G186/Indeks!$G$40*Indeks!$G$2)/Indeks!H186*100</f>
        <v>3.6645980748781638E-3</v>
      </c>
      <c r="H186" s="63">
        <f t="shared" si="25"/>
        <v>1</v>
      </c>
    </row>
    <row r="187" spans="1:8" hidden="1" x14ac:dyDescent="0.2">
      <c r="A187" s="11">
        <f t="shared" si="26"/>
        <v>2020</v>
      </c>
      <c r="B187" t="s">
        <v>10</v>
      </c>
      <c r="C187" s="62">
        <f>(Indeks!C187/Indeks!$C$40*Indeks!$C$2)/Indeks!H187*100</f>
        <v>0.75897041421820766</v>
      </c>
      <c r="D187" s="62">
        <f>(Indeks!D187/Indeks!$D$40*Indeks!$D$2)/Indeks!H187*100</f>
        <v>5.3910562376919914E-2</v>
      </c>
      <c r="E187" s="62">
        <f>(Indeks!E187/Indeks!$E$40*Indeks!$E$2)/Indeks!H187*100</f>
        <v>9.1348871790263672E-2</v>
      </c>
      <c r="F187" s="62">
        <f>(Indeks!F187/Indeks!$F$40*Indeks!$F$2)/Indeks!H187*100</f>
        <v>9.4505060475364569E-2</v>
      </c>
      <c r="G187" s="62">
        <f>(Indeks!G187/Indeks!$G$40*Indeks!$G$2)/Indeks!H187*100</f>
        <v>1.2650911392442787E-3</v>
      </c>
      <c r="H187" s="62">
        <f t="shared" si="25"/>
        <v>1</v>
      </c>
    </row>
    <row r="188" spans="1:8" hidden="1" x14ac:dyDescent="0.2">
      <c r="A188" s="11">
        <f t="shared" si="26"/>
        <v>2020</v>
      </c>
      <c r="B188" t="s">
        <v>11</v>
      </c>
      <c r="C188" s="62">
        <f>(Indeks!C188/Indeks!$C$40*Indeks!$C$2)/Indeks!H188*100</f>
        <v>0.7561114917995998</v>
      </c>
      <c r="D188" s="62">
        <f>(Indeks!D188/Indeks!$D$40*Indeks!$D$2)/Indeks!H188*100</f>
        <v>5.314738846690565E-2</v>
      </c>
      <c r="E188" s="62">
        <f>(Indeks!E188/Indeks!$E$40*Indeks!$E$2)/Indeks!H188*100</f>
        <v>9.0741247588273302E-2</v>
      </c>
      <c r="F188" s="62">
        <f>(Indeks!F188/Indeks!$F$40*Indeks!$F$2)/Indeks!H188*100</f>
        <v>9.4328406317481642E-2</v>
      </c>
      <c r="G188" s="62">
        <f>(Indeks!G188/Indeks!$G$40*Indeks!$G$2)/Indeks!H188*100</f>
        <v>5.6714658277397002E-3</v>
      </c>
      <c r="H188" s="62">
        <f t="shared" si="25"/>
        <v>1.0000000000000002</v>
      </c>
    </row>
    <row r="189" spans="1:8" hidden="1" x14ac:dyDescent="0.2">
      <c r="A189" s="13">
        <f t="shared" si="26"/>
        <v>2020</v>
      </c>
      <c r="B189" s="14" t="s">
        <v>12</v>
      </c>
      <c r="C189" s="63">
        <f>(Indeks!C189/Indeks!$C$40*Indeks!$C$2)/Indeks!H189*100</f>
        <v>0.7591191020789364</v>
      </c>
      <c r="D189" s="63">
        <f>(Indeks!D189/Indeks!$D$40*Indeks!$D$2)/Indeks!H189*100</f>
        <v>5.0734591618578843E-2</v>
      </c>
      <c r="E189" s="63">
        <f>(Indeks!E189/Indeks!$E$40*Indeks!$E$2)/Indeks!H189*100</f>
        <v>9.1014000260163014E-2</v>
      </c>
      <c r="F189" s="63">
        <f>(Indeks!F189/Indeks!$F$40*Indeks!$F$2)/Indeks!H189*100</f>
        <v>9.4703619612810166E-2</v>
      </c>
      <c r="G189" s="63">
        <f>(Indeks!G189/Indeks!$G$40*Indeks!$G$2)/Indeks!H189*100</f>
        <v>4.4286864295116002E-3</v>
      </c>
      <c r="H189" s="63">
        <f t="shared" si="25"/>
        <v>1</v>
      </c>
    </row>
    <row r="190" spans="1:8" hidden="1" x14ac:dyDescent="0.2">
      <c r="A190" s="11">
        <f t="shared" si="26"/>
        <v>2020</v>
      </c>
      <c r="B190" t="s">
        <v>30</v>
      </c>
      <c r="C190" s="62">
        <f>(Indeks!C190/Indeks!$C$40*Indeks!$C$2)/Indeks!H190*100</f>
        <v>0.76105514330957691</v>
      </c>
      <c r="D190" s="62">
        <f>(Indeks!D190/Indeks!$D$40*Indeks!$D$2)/Indeks!H190*100</f>
        <v>5.0645683682498305E-2</v>
      </c>
      <c r="E190" s="62">
        <f>(Indeks!E190/Indeks!$E$40*Indeks!$E$2)/Indeks!H190*100</f>
        <v>9.0766468869879352E-2</v>
      </c>
      <c r="F190" s="62">
        <f>(Indeks!F190/Indeks!$F$40*Indeks!$F$2)/Indeks!H190*100</f>
        <v>9.4627524495013562E-2</v>
      </c>
      <c r="G190" s="62">
        <f>(Indeks!G190/Indeks!$G$40*Indeks!$G$2)/Indeks!H190*100</f>
        <v>2.9051796430320546E-3</v>
      </c>
      <c r="H190" s="62">
        <f t="shared" si="25"/>
        <v>1.0000000000000002</v>
      </c>
    </row>
    <row r="191" spans="1:8" hidden="1" x14ac:dyDescent="0.2">
      <c r="A191" s="11">
        <f t="shared" si="26"/>
        <v>2020</v>
      </c>
      <c r="B191" t="s">
        <v>13</v>
      </c>
      <c r="C191" s="62">
        <f>(Indeks!C191/Indeks!$C$40*Indeks!$C$2)/Indeks!H191*100</f>
        <v>0.76094750382661391</v>
      </c>
      <c r="D191" s="62">
        <f>(Indeks!D191/Indeks!$D$40*Indeks!$D$2)/Indeks!H191*100</f>
        <v>5.0638520633599929E-2</v>
      </c>
      <c r="E191" s="62">
        <f>(Indeks!E191/Indeks!$E$40*Indeks!$E$2)/Indeks!H191*100</f>
        <v>9.0841656216919281E-2</v>
      </c>
      <c r="F191" s="62">
        <f>(Indeks!F191/Indeks!$F$40*Indeks!$F$2)/Indeks!H191*100</f>
        <v>9.4793844866067789E-2</v>
      </c>
      <c r="G191" s="62">
        <f>(Indeks!G191/Indeks!$G$40*Indeks!$G$2)/Indeks!H191*100</f>
        <v>2.7784744567991293E-3</v>
      </c>
      <c r="H191" s="62">
        <f t="shared" si="25"/>
        <v>1</v>
      </c>
    </row>
    <row r="192" spans="1:8" hidden="1" x14ac:dyDescent="0.2">
      <c r="A192" s="13">
        <f t="shared" si="26"/>
        <v>2020</v>
      </c>
      <c r="B192" s="14" t="s">
        <v>14</v>
      </c>
      <c r="C192" s="63">
        <f>(Indeks!C192/Indeks!$C$40*Indeks!$C$2)/Indeks!H192*100</f>
        <v>0.75994999539169217</v>
      </c>
      <c r="D192" s="63">
        <f>(Indeks!D192/Indeks!$D$40*Indeks!$D$2)/Indeks!H192*100</f>
        <v>5.1630916096567933E-2</v>
      </c>
      <c r="E192" s="63">
        <f>(Indeks!E192/Indeks!$E$40*Indeks!$E$2)/Indeks!H192*100</f>
        <v>9.142584976399358E-2</v>
      </c>
      <c r="F192" s="63">
        <f>(Indeks!F192/Indeks!$F$40*Indeks!$F$2)/Indeks!H192*100</f>
        <v>9.4849050214827271E-2</v>
      </c>
      <c r="G192" s="63">
        <f>(Indeks!G192/Indeks!$G$40*Indeks!$G$2)/Indeks!H192*100</f>
        <v>2.1441885329192023E-3</v>
      </c>
      <c r="H192" s="63">
        <f t="shared" si="25"/>
        <v>1.0000000000000002</v>
      </c>
    </row>
    <row r="193" spans="1:8" hidden="1" x14ac:dyDescent="0.2">
      <c r="A193" s="11">
        <f t="shared" si="26"/>
        <v>2020</v>
      </c>
      <c r="B193" t="s">
        <v>15</v>
      </c>
      <c r="C193" s="62">
        <f>(Indeks!C193/Indeks!$C$40*Indeks!$C$2)/Indeks!H193*100</f>
        <v>0.75967758130112473</v>
      </c>
      <c r="D193" s="62">
        <f>(Indeks!D193/Indeks!$D$40*Indeks!$D$2)/Indeks!H193*100</f>
        <v>5.1961802707464144E-2</v>
      </c>
      <c r="E193" s="62">
        <f>(Indeks!E193/Indeks!$E$40*Indeks!$E$2)/Indeks!H193*100</f>
        <v>9.0781817439466395E-2</v>
      </c>
      <c r="F193" s="62">
        <f>(Indeks!F193/Indeks!$F$40*Indeks!$F$2)/Indeks!H193*100</f>
        <v>9.4812874952539192E-2</v>
      </c>
      <c r="G193" s="62">
        <f>(Indeks!G193/Indeks!$G$40*Indeks!$G$2)/Indeks!H193*100</f>
        <v>2.7659235994054545E-3</v>
      </c>
      <c r="H193" s="62">
        <f t="shared" si="25"/>
        <v>0.99999999999999989</v>
      </c>
    </row>
    <row r="194" spans="1:8" hidden="1" x14ac:dyDescent="0.2">
      <c r="A194" s="11">
        <f t="shared" si="26"/>
        <v>2020</v>
      </c>
      <c r="B194" t="s">
        <v>16</v>
      </c>
      <c r="C194" s="62">
        <f>(Indeks!C194/Indeks!$C$40*Indeks!$C$2)/Indeks!H194*100</f>
        <v>0.76085979612180743</v>
      </c>
      <c r="D194" s="62">
        <f>(Indeks!D194/Indeks!$D$40*Indeks!$D$2)/Indeks!H194*100</f>
        <v>5.1545245036092174E-2</v>
      </c>
      <c r="E194" s="62">
        <f>(Indeks!E194/Indeks!$E$40*Indeks!$E$2)/Indeks!H194*100</f>
        <v>9.0835329046779129E-2</v>
      </c>
      <c r="F194" s="62">
        <f>(Indeks!F194/Indeks!$F$40*Indeks!$F$2)/Indeks!H194*100</f>
        <v>9.4870838013722397E-2</v>
      </c>
      <c r="G194" s="62">
        <f>(Indeks!G194/Indeks!$G$40*Indeks!$G$2)/Indeks!H194*100</f>
        <v>1.8887917815988444E-3</v>
      </c>
      <c r="H194" s="62">
        <f t="shared" si="25"/>
        <v>1</v>
      </c>
    </row>
    <row r="195" spans="1:8" ht="13.5" hidden="1" thickBot="1" x14ac:dyDescent="0.25">
      <c r="A195" s="31">
        <f t="shared" si="26"/>
        <v>2020</v>
      </c>
      <c r="B195" s="32" t="s">
        <v>17</v>
      </c>
      <c r="C195" s="65">
        <f>(Indeks!C195/Indeks!$C$40*Indeks!$C$2)/Indeks!H195*100</f>
        <v>0.75992587804683209</v>
      </c>
      <c r="D195" s="65">
        <f>(Indeks!D195/Indeks!$D$40*Indeks!$D$2)/Indeks!H195*100</f>
        <v>5.3593419897523184E-2</v>
      </c>
      <c r="E195" s="65">
        <f>(Indeks!E195/Indeks!$E$40*Indeks!$E$2)/Indeks!H195*100</f>
        <v>9.0899144891248146E-2</v>
      </c>
      <c r="F195" s="65">
        <f>(Indeks!F195/Indeks!$F$40*Indeks!$F$2)/Indeks!H195*100</f>
        <v>9.4575438027146685E-2</v>
      </c>
      <c r="G195" s="65">
        <f>(Indeks!G195/Indeks!$G$40*Indeks!$G$2)/Indeks!H195*100</f>
        <v>1.0061191372499017E-3</v>
      </c>
      <c r="H195" s="65">
        <f t="shared" si="25"/>
        <v>1</v>
      </c>
    </row>
    <row r="196" spans="1:8" hidden="1" x14ac:dyDescent="0.2">
      <c r="A196" s="2">
        <v>2021</v>
      </c>
      <c r="B196" t="s">
        <v>7</v>
      </c>
      <c r="C196" s="62">
        <f>(Indeks!C196/Indeks!$C$40*Indeks!$C$2)/Indeks!H196*100</f>
        <v>0.76367627033379504</v>
      </c>
      <c r="D196" s="62">
        <f>(Indeks!D196/Indeks!$D$40*Indeks!$D$2)/Indeks!H196*100</f>
        <v>4.8836257023772076E-2</v>
      </c>
      <c r="E196" s="62">
        <f>(Indeks!E196/Indeks!$E$40*Indeks!$E$2)/Indeks!H196*100</f>
        <v>9.074187728286276E-2</v>
      </c>
      <c r="F196" s="62">
        <f>(Indeks!F196/Indeks!$F$40*Indeks!$F$2)/Indeks!H196*100</f>
        <v>9.4860568057221276E-2</v>
      </c>
      <c r="G196" s="62">
        <f>(Indeks!G196/Indeks!$G$40*Indeks!$G$2)/Indeks!H196*100</f>
        <v>1.8850273023488543E-3</v>
      </c>
      <c r="H196" s="62">
        <f t="shared" ref="H196:H207" si="27">SUM(C196:G196)</f>
        <v>1</v>
      </c>
    </row>
    <row r="197" spans="1:8" hidden="1" x14ac:dyDescent="0.2">
      <c r="A197" s="11">
        <f>A196</f>
        <v>2021</v>
      </c>
      <c r="B197" t="s">
        <v>8</v>
      </c>
      <c r="C197" s="62">
        <f>(Indeks!C197/Indeks!$C$40*Indeks!$C$2)/Indeks!H197*100</f>
        <v>0.7639866945770043</v>
      </c>
      <c r="D197" s="62">
        <f>(Indeks!D197/Indeks!$D$40*Indeks!$D$2)/Indeks!H197*100</f>
        <v>5.0904712600050861E-2</v>
      </c>
      <c r="E197" s="62">
        <f>(Indeks!E197/Indeks!$E$40*Indeks!$E$2)/Indeks!H197*100</f>
        <v>9.0603514072119473E-2</v>
      </c>
      <c r="F197" s="62">
        <f>(Indeks!F197/Indeks!$F$40*Indeks!$F$2)/Indeks!H197*100</f>
        <v>9.4630798320216578E-2</v>
      </c>
      <c r="G197" s="62">
        <f>(Indeks!G197/Indeks!$G$40*Indeks!$G$2)/Indeks!H197*100</f>
        <v>-1.2571956939113653E-4</v>
      </c>
      <c r="H197" s="62">
        <f t="shared" si="27"/>
        <v>1.0000000000000002</v>
      </c>
    </row>
    <row r="198" spans="1:8" hidden="1" x14ac:dyDescent="0.2">
      <c r="A198" s="13">
        <f t="shared" ref="A198:A207" si="28">A197</f>
        <v>2021</v>
      </c>
      <c r="B198" s="14" t="s">
        <v>9</v>
      </c>
      <c r="C198" s="63">
        <f>(Indeks!C198/Indeks!$C$40*Indeks!$C$2)/Indeks!H198*100</f>
        <v>0.76204478738299131</v>
      </c>
      <c r="D198" s="63">
        <f>(Indeks!D198/Indeks!$D$40*Indeks!$D$2)/Indeks!H198*100</f>
        <v>5.0279953613078542E-2</v>
      </c>
      <c r="E198" s="63">
        <f>(Indeks!E198/Indeks!$E$40*Indeks!$E$2)/Indeks!H198*100</f>
        <v>9.0548020498958479E-2</v>
      </c>
      <c r="F198" s="63">
        <f>(Indeks!F198/Indeks!$F$40*Indeks!$F$2)/Indeks!H198*100</f>
        <v>9.5371638302910275E-2</v>
      </c>
      <c r="G198" s="63">
        <f>(Indeks!G198/Indeks!$G$40*Indeks!$G$2)/Indeks!H198*100</f>
        <v>1.7556002020615157E-3</v>
      </c>
      <c r="H198" s="63">
        <f t="shared" si="27"/>
        <v>1.0000000000000002</v>
      </c>
    </row>
    <row r="199" spans="1:8" hidden="1" x14ac:dyDescent="0.2">
      <c r="A199" s="11">
        <f t="shared" si="28"/>
        <v>2021</v>
      </c>
      <c r="B199" t="s">
        <v>10</v>
      </c>
      <c r="C199" s="62">
        <f>(Indeks!C199/Indeks!$C$40*Indeks!$C$2)/Indeks!H199*100</f>
        <v>0.75735282114286784</v>
      </c>
      <c r="D199" s="62">
        <f>(Indeks!D199/Indeks!$D$40*Indeks!$D$2)/Indeks!H199*100</f>
        <v>5.3864337700374444E-2</v>
      </c>
      <c r="E199" s="62">
        <f>(Indeks!E199/Indeks!$E$40*Indeks!$E$2)/Indeks!H199*100</f>
        <v>9.0128166071885674E-2</v>
      </c>
      <c r="F199" s="62">
        <f>(Indeks!F199/Indeks!$F$40*Indeks!$F$2)/Indeks!H199*100</f>
        <v>9.4559380600687012E-2</v>
      </c>
      <c r="G199" s="62">
        <f>(Indeks!G199/Indeks!$G$40*Indeks!$G$2)/Indeks!H199*100</f>
        <v>4.0952944841849935E-3</v>
      </c>
      <c r="H199" s="62">
        <f t="shared" si="27"/>
        <v>1</v>
      </c>
    </row>
    <row r="200" spans="1:8" hidden="1" x14ac:dyDescent="0.2">
      <c r="A200" s="11">
        <f t="shared" si="28"/>
        <v>2021</v>
      </c>
      <c r="B200" t="s">
        <v>11</v>
      </c>
      <c r="C200" s="62">
        <f>(Indeks!C200/Indeks!$C$40*Indeks!$C$2)/Indeks!H200*100</f>
        <v>0.75659556568115061</v>
      </c>
      <c r="D200" s="62">
        <f>(Indeks!D200/Indeks!$D$40*Indeks!$D$2)/Indeks!H200*100</f>
        <v>5.283099486658728E-2</v>
      </c>
      <c r="E200" s="62">
        <f>(Indeks!E200/Indeks!$E$40*Indeks!$E$2)/Indeks!H200*100</f>
        <v>9.0124458368666061E-2</v>
      </c>
      <c r="F200" s="62">
        <f>(Indeks!F200/Indeks!$F$40*Indeks!$F$2)/Indeks!H200*100</f>
        <v>9.499404812871573E-2</v>
      </c>
      <c r="G200" s="62">
        <f>(Indeks!G200/Indeks!$G$40*Indeks!$G$2)/Indeks!H200*100</f>
        <v>5.4549329548802912E-3</v>
      </c>
      <c r="H200" s="62">
        <f t="shared" si="27"/>
        <v>1</v>
      </c>
    </row>
    <row r="201" spans="1:8" hidden="1" x14ac:dyDescent="0.2">
      <c r="A201" s="13">
        <f t="shared" si="28"/>
        <v>2021</v>
      </c>
      <c r="B201" s="14" t="s">
        <v>12</v>
      </c>
      <c r="C201" s="63">
        <f>(Indeks!C201/Indeks!$C$40*Indeks!$C$2)/Indeks!H201*100</f>
        <v>0.75623249328210385</v>
      </c>
      <c r="D201" s="63">
        <f>(Indeks!D201/Indeks!$D$40*Indeks!$D$2)/Indeks!H201*100</f>
        <v>5.3295150210216947E-2</v>
      </c>
      <c r="E201" s="63">
        <f>(Indeks!E201/Indeks!$E$40*Indeks!$E$2)/Indeks!H201*100</f>
        <v>9.0426679407286964E-2</v>
      </c>
      <c r="F201" s="63">
        <f>(Indeks!F201/Indeks!$F$40*Indeks!$F$2)/Indeks!H201*100</f>
        <v>9.5212943119066085E-2</v>
      </c>
      <c r="G201" s="63">
        <f>(Indeks!G201/Indeks!$G$40*Indeks!$G$2)/Indeks!H201*100</f>
        <v>4.8327339813263488E-3</v>
      </c>
      <c r="H201" s="63">
        <f t="shared" si="27"/>
        <v>1.0000000000000002</v>
      </c>
    </row>
    <row r="202" spans="1:8" hidden="1" x14ac:dyDescent="0.2">
      <c r="A202" s="11">
        <f t="shared" si="28"/>
        <v>2021</v>
      </c>
      <c r="B202" t="s">
        <v>30</v>
      </c>
      <c r="C202" s="62">
        <f>(Indeks!C202/Indeks!$C$40*Indeks!$C$2)/Indeks!H202*100</f>
        <v>0.75564498494775234</v>
      </c>
      <c r="D202" s="62">
        <f>(Indeks!D202/Indeks!$D$40*Indeks!$D$2)/Indeks!H202*100</f>
        <v>5.3912404230247998E-2</v>
      </c>
      <c r="E202" s="62">
        <f>(Indeks!E202/Indeks!$E$40*Indeks!$E$2)/Indeks!H202*100</f>
        <v>8.9894182662839731E-2</v>
      </c>
      <c r="F202" s="62">
        <f>(Indeks!F202/Indeks!$F$40*Indeks!$F$2)/Indeks!H202*100</f>
        <v>9.4646747328923683E-2</v>
      </c>
      <c r="G202" s="62">
        <f>(Indeks!G202/Indeks!$G$40*Indeks!$G$2)/Indeks!H202*100</f>
        <v>5.9016808302362255E-3</v>
      </c>
      <c r="H202" s="62">
        <f t="shared" si="27"/>
        <v>1</v>
      </c>
    </row>
    <row r="203" spans="1:8" hidden="1" x14ac:dyDescent="0.2">
      <c r="A203" s="11">
        <f t="shared" si="28"/>
        <v>2021</v>
      </c>
      <c r="B203" t="s">
        <v>13</v>
      </c>
      <c r="C203" s="62">
        <f>(Indeks!C203/Indeks!$C$40*Indeks!$C$2)/Indeks!H203*100</f>
        <v>0.75522580469457767</v>
      </c>
      <c r="D203" s="62">
        <f>(Indeks!D203/Indeks!$D$40*Indeks!$D$2)/Indeks!H203*100</f>
        <v>5.4914031604062614E-2</v>
      </c>
      <c r="E203" s="62">
        <f>(Indeks!E203/Indeks!$E$40*Indeks!$E$2)/Indeks!H203*100</f>
        <v>8.9929963090864748E-2</v>
      </c>
      <c r="F203" s="62">
        <f>(Indeks!F203/Indeks!$F$40*Indeks!$F$2)/Indeks!H203*100</f>
        <v>9.476909450247642E-2</v>
      </c>
      <c r="G203" s="62">
        <f>(Indeks!G203/Indeks!$G$40*Indeks!$G$2)/Indeks!H203*100</f>
        <v>5.1611061080186448E-3</v>
      </c>
      <c r="H203" s="62">
        <f t="shared" si="27"/>
        <v>1</v>
      </c>
    </row>
    <row r="204" spans="1:8" hidden="1" x14ac:dyDescent="0.2">
      <c r="A204" s="13">
        <f t="shared" si="28"/>
        <v>2021</v>
      </c>
      <c r="B204" s="14" t="s">
        <v>14</v>
      </c>
      <c r="C204" s="63">
        <f>(Indeks!C204/Indeks!$C$40*Indeks!$C$2)/Indeks!H204*100</f>
        <v>0.74867522229620409</v>
      </c>
      <c r="D204" s="63">
        <f>(Indeks!D204/Indeks!$D$40*Indeks!$D$2)/Indeks!H204*100</f>
        <v>6.3039487301033537E-2</v>
      </c>
      <c r="E204" s="63">
        <f>(Indeks!E204/Indeks!$E$40*Indeks!$E$2)/Indeks!H204*100</f>
        <v>8.9744272844252376E-2</v>
      </c>
      <c r="F204" s="63">
        <f>(Indeks!F204/Indeks!$F$40*Indeks!$F$2)/Indeks!H204*100</f>
        <v>9.4033765339821468E-2</v>
      </c>
      <c r="G204" s="63">
        <f>(Indeks!G204/Indeks!$G$40*Indeks!$G$2)/Indeks!H204*100</f>
        <v>4.5072522186885679E-3</v>
      </c>
      <c r="H204" s="63">
        <f t="shared" si="27"/>
        <v>1</v>
      </c>
    </row>
    <row r="205" spans="1:8" hidden="1" x14ac:dyDescent="0.2">
      <c r="A205" s="11">
        <f t="shared" si="28"/>
        <v>2021</v>
      </c>
      <c r="B205" t="s">
        <v>15</v>
      </c>
      <c r="C205" s="62">
        <f>(Indeks!C205/Indeks!$C$40*Indeks!$C$2)/Indeks!H205*100</f>
        <v>0.74888989446770238</v>
      </c>
      <c r="D205" s="62">
        <f>(Indeks!D205/Indeks!$D$40*Indeks!$D$2)/Indeks!H205*100</f>
        <v>6.4366091521604205E-2</v>
      </c>
      <c r="E205" s="62">
        <f>(Indeks!E205/Indeks!$E$40*Indeks!$E$2)/Indeks!H205*100</f>
        <v>8.8667460490131716E-2</v>
      </c>
      <c r="F205" s="62">
        <f>(Indeks!F205/Indeks!$F$40*Indeks!$F$2)/Indeks!H205*100</f>
        <v>9.3253187904062521E-2</v>
      </c>
      <c r="G205" s="62">
        <f>(Indeks!G205/Indeks!$G$40*Indeks!$G$2)/Indeks!H205*100</f>
        <v>4.8233656164991786E-3</v>
      </c>
      <c r="H205" s="62">
        <f t="shared" si="27"/>
        <v>1</v>
      </c>
    </row>
    <row r="206" spans="1:8" hidden="1" x14ac:dyDescent="0.2">
      <c r="A206" s="11">
        <f t="shared" si="28"/>
        <v>2021</v>
      </c>
      <c r="B206" t="s">
        <v>16</v>
      </c>
      <c r="C206" s="62">
        <f>(Indeks!C206/Indeks!$C$40*Indeks!$C$2)/Indeks!H206*100</f>
        <v>0.74746546405456593</v>
      </c>
      <c r="D206" s="62">
        <f>(Indeks!D206/Indeks!$D$40*Indeks!$D$2)/Indeks!H206*100</f>
        <v>6.4778532234747846E-2</v>
      </c>
      <c r="E206" s="62">
        <f>(Indeks!E206/Indeks!$E$40*Indeks!$E$2)/Indeks!H206*100</f>
        <v>8.8750465411175844E-2</v>
      </c>
      <c r="F206" s="62">
        <f>(Indeks!F206/Indeks!$F$40*Indeks!$F$2)/Indeks!H206*100</f>
        <v>9.3589573080645222E-2</v>
      </c>
      <c r="G206" s="62">
        <f>(Indeks!G206/Indeks!$G$40*Indeks!$G$2)/Indeks!H206*100</f>
        <v>5.4159652188650181E-3</v>
      </c>
      <c r="H206" s="62">
        <f t="shared" si="27"/>
        <v>0.99999999999999978</v>
      </c>
    </row>
    <row r="207" spans="1:8" ht="13.5" hidden="1" thickBot="1" x14ac:dyDescent="0.25">
      <c r="A207" s="31">
        <f t="shared" si="28"/>
        <v>2021</v>
      </c>
      <c r="B207" s="32" t="s">
        <v>17</v>
      </c>
      <c r="C207" s="65">
        <f>(Indeks!C207/Indeks!$C$40*Indeks!$C$2)/Indeks!H207*100</f>
        <v>0.73551388962309361</v>
      </c>
      <c r="D207" s="65">
        <f>(Indeks!D207/Indeks!$D$40*Indeks!$D$2)/Indeks!H207*100</f>
        <v>7.8011779088753855E-2</v>
      </c>
      <c r="E207" s="65">
        <f>(Indeks!E207/Indeks!$E$40*Indeks!$E$2)/Indeks!H207*100</f>
        <v>8.8156831261039195E-2</v>
      </c>
      <c r="F207" s="65">
        <f>(Indeks!F207/Indeks!$F$40*Indeks!$F$2)/Indeks!H207*100</f>
        <v>9.2514411710600056E-2</v>
      </c>
      <c r="G207" s="65">
        <f>(Indeks!G207/Indeks!$G$40*Indeks!$G$2)/Indeks!H207*100</f>
        <v>5.8030883165132467E-3</v>
      </c>
      <c r="H207" s="65">
        <f t="shared" si="27"/>
        <v>1</v>
      </c>
    </row>
    <row r="208" spans="1:8" hidden="1" x14ac:dyDescent="0.2">
      <c r="A208" s="2">
        <v>2022</v>
      </c>
      <c r="B208" t="s">
        <v>7</v>
      </c>
      <c r="C208" s="62">
        <f>(Indeks!C208/Indeks!$C$40*Indeks!$C$2)/Indeks!H208*100</f>
        <v>0.73707811977726578</v>
      </c>
      <c r="D208" s="62">
        <f>(Indeks!D208/Indeks!$D$40*Indeks!$D$2)/Indeks!H208*100</f>
        <v>7.7746065246648996E-2</v>
      </c>
      <c r="E208" s="62">
        <f>(Indeks!E208/Indeks!$E$40*Indeks!$E$2)/Indeks!H208*100</f>
        <v>8.8103350724315521E-2</v>
      </c>
      <c r="F208" s="62">
        <f>(Indeks!F208/Indeks!$F$40*Indeks!$F$2)/Indeks!H208*100</f>
        <v>9.2115330618606911E-2</v>
      </c>
      <c r="G208" s="62">
        <f>(Indeks!G208/Indeks!$G$40*Indeks!$G$2)/Indeks!H208*100</f>
        <v>4.9571336331630462E-3</v>
      </c>
      <c r="H208" s="62">
        <f t="shared" ref="H208:H219" si="29">SUM(C208:G208)</f>
        <v>1.0000000000000002</v>
      </c>
    </row>
    <row r="209" spans="1:8" hidden="1" x14ac:dyDescent="0.2">
      <c r="A209" s="11">
        <f>A208</f>
        <v>2022</v>
      </c>
      <c r="B209" t="s">
        <v>8</v>
      </c>
      <c r="C209" s="62">
        <f>(Indeks!C209/Indeks!$C$40*Indeks!$C$2)/Indeks!H209*100</f>
        <v>0.73417328324350117</v>
      </c>
      <c r="D209" s="62">
        <f>(Indeks!D209/Indeks!$D$40*Indeks!$D$2)/Indeks!H209*100</f>
        <v>7.9877797211375209E-2</v>
      </c>
      <c r="E209" s="62">
        <f>(Indeks!E209/Indeks!$E$40*Indeks!$E$2)/Indeks!H209*100</f>
        <v>8.7346441522489188E-2</v>
      </c>
      <c r="F209" s="62">
        <f>(Indeks!F209/Indeks!$F$40*Indeks!$F$2)/Indeks!H209*100</f>
        <v>9.2254138391256416E-2</v>
      </c>
      <c r="G209" s="62">
        <f>(Indeks!G209/Indeks!$G$40*Indeks!$G$2)/Indeks!H209*100</f>
        <v>6.3483396313779462E-3</v>
      </c>
      <c r="H209" s="62">
        <f t="shared" si="29"/>
        <v>0.99999999999999989</v>
      </c>
    </row>
    <row r="210" spans="1:8" hidden="1" x14ac:dyDescent="0.2">
      <c r="A210" s="13">
        <f t="shared" ref="A210:A219" si="30">A209</f>
        <v>2022</v>
      </c>
      <c r="B210" s="14" t="s">
        <v>9</v>
      </c>
      <c r="C210" s="63">
        <f>(Indeks!C210/Indeks!$C$40*Indeks!$C$2)/Indeks!H210*100</f>
        <v>0.70905040108345585</v>
      </c>
      <c r="D210" s="63">
        <f>(Indeks!D210/Indeks!$D$40*Indeks!$D$2)/Indeks!H210*100</f>
        <v>0.10601753576931056</v>
      </c>
      <c r="E210" s="63">
        <f>(Indeks!E210/Indeks!$E$40*Indeks!$E$2)/Indeks!H210*100</f>
        <v>8.5544528420893301E-2</v>
      </c>
      <c r="F210" s="63">
        <f>(Indeks!F210/Indeks!$F$40*Indeks!$F$2)/Indeks!H210*100</f>
        <v>9.1439807304357121E-2</v>
      </c>
      <c r="G210" s="63">
        <f>(Indeks!G210/Indeks!$G$40*Indeks!$G$2)/Indeks!H210*100</f>
        <v>7.9477274219831792E-3</v>
      </c>
      <c r="H210" s="63">
        <f t="shared" si="29"/>
        <v>1</v>
      </c>
    </row>
    <row r="211" spans="1:8" hidden="1" x14ac:dyDescent="0.2">
      <c r="A211" s="18">
        <f t="shared" si="30"/>
        <v>2022</v>
      </c>
      <c r="B211" s="19" t="s">
        <v>10</v>
      </c>
      <c r="C211" s="62">
        <f>(Indeks!C211/Indeks!$C$40*Indeks!$C$2)/Indeks!H211*100</f>
        <v>0.71527727987934675</v>
      </c>
      <c r="D211" s="62">
        <f>(Indeks!D211/Indeks!$D$40*Indeks!$D$2)/Indeks!H211*100</f>
        <v>9.3464266372564969E-2</v>
      </c>
      <c r="E211" s="62">
        <f>(Indeks!E211/Indeks!$E$40*Indeks!$E$2)/Indeks!H211*100</f>
        <v>8.6993794297218888E-2</v>
      </c>
      <c r="F211" s="62">
        <f>(Indeks!F211/Indeks!$F$40*Indeks!$F$2)/Indeks!H211*100</f>
        <v>9.237752005198259E-2</v>
      </c>
      <c r="G211" s="62">
        <f>(Indeks!G211/Indeks!$G$40*Indeks!$G$2)/Indeks!H211*100</f>
        <v>1.1887139398886673E-2</v>
      </c>
      <c r="H211" s="62">
        <f t="shared" si="29"/>
        <v>0.99999999999999989</v>
      </c>
    </row>
    <row r="212" spans="1:8" hidden="1" x14ac:dyDescent="0.2">
      <c r="A212" s="11">
        <f t="shared" si="30"/>
        <v>2022</v>
      </c>
      <c r="B212" t="s">
        <v>11</v>
      </c>
      <c r="C212" s="62">
        <f>(Indeks!C212/Indeks!$C$40*Indeks!$C$2)/Indeks!H212*100</f>
        <v>0.7138162399514022</v>
      </c>
      <c r="D212" s="62">
        <f>(Indeks!D212/Indeks!$D$40*Indeks!$D$2)/Indeks!H212*100</f>
        <v>9.2315838041138701E-2</v>
      </c>
      <c r="E212" s="62">
        <f>(Indeks!E212/Indeks!$E$40*Indeks!$E$2)/Indeks!H212*100</f>
        <v>8.7372612457788087E-2</v>
      </c>
      <c r="F212" s="62">
        <f>(Indeks!F212/Indeks!$F$40*Indeks!$F$2)/Indeks!H212*100</f>
        <v>9.2351132124003019E-2</v>
      </c>
      <c r="G212" s="62">
        <f>(Indeks!G212/Indeks!$G$40*Indeks!$G$2)/Indeks!H212*100</f>
        <v>1.4144177425668309E-2</v>
      </c>
      <c r="H212" s="62">
        <f t="shared" si="29"/>
        <v>1.0000000000000002</v>
      </c>
    </row>
    <row r="213" spans="1:8" ht="13.5" hidden="1" thickBot="1" x14ac:dyDescent="0.25">
      <c r="A213" s="31">
        <f t="shared" si="30"/>
        <v>2022</v>
      </c>
      <c r="B213" s="32" t="s">
        <v>12</v>
      </c>
      <c r="C213" s="65">
        <f>(Indeks!C213/Indeks!$C$40*Indeks!$C$2)/Indeks!H213*100</f>
        <v>0.69095147398080659</v>
      </c>
      <c r="D213" s="65">
        <f>(Indeks!D213/Indeks!$D$40*Indeks!$D$2)/Indeks!H213*100</f>
        <v>0.11460171002734607</v>
      </c>
      <c r="E213" s="65">
        <f>(Indeks!E213/Indeks!$E$40*Indeks!$E$2)/Indeks!H213*100</f>
        <v>8.5959112996502052E-2</v>
      </c>
      <c r="F213" s="65">
        <f>(Indeks!F213/Indeks!$F$40*Indeks!$F$2)/Indeks!H213*100</f>
        <v>9.1042572573431346E-2</v>
      </c>
      <c r="G213" s="65">
        <f>(Indeks!G213/Indeks!$G$40*Indeks!$G$2)/Indeks!H213*100</f>
        <v>1.7445130421914017E-2</v>
      </c>
      <c r="H213" s="65">
        <f t="shared" si="29"/>
        <v>1.0000000000000002</v>
      </c>
    </row>
    <row r="214" spans="1:8" hidden="1" x14ac:dyDescent="0.2">
      <c r="A214" s="11">
        <f t="shared" si="30"/>
        <v>2022</v>
      </c>
      <c r="B214" t="s">
        <v>30</v>
      </c>
      <c r="C214" s="62">
        <f>(Indeks!C214/Indeks!$C$40*Indeks!$C$2)/Indeks!H214*100</f>
        <v>0.69444350239934649</v>
      </c>
      <c r="D214" s="62">
        <f>(Indeks!D214/Indeks!$D$40*Indeks!$D$2)/Indeks!H214*100</f>
        <v>0.10726633490554265</v>
      </c>
      <c r="E214" s="62">
        <f>(Indeks!E214/Indeks!$E$40*Indeks!$E$2)/Indeks!H214*100</f>
        <v>8.6748777637543351E-2</v>
      </c>
      <c r="F214" s="62">
        <f>(Indeks!F214/Indeks!$F$40*Indeks!$F$2)/Indeks!H214*100</f>
        <v>9.1220825988642312E-2</v>
      </c>
      <c r="G214" s="62">
        <f>(Indeks!G214/Indeks!$G$40*Indeks!$G$2)/Indeks!H214*100</f>
        <v>2.0320559068925291E-2</v>
      </c>
      <c r="H214" s="62">
        <f t="shared" si="29"/>
        <v>1.0000000000000002</v>
      </c>
    </row>
    <row r="215" spans="1:8" hidden="1" x14ac:dyDescent="0.2">
      <c r="A215" s="11">
        <f t="shared" si="30"/>
        <v>2022</v>
      </c>
      <c r="B215" t="s">
        <v>13</v>
      </c>
      <c r="C215" s="62">
        <f>(Indeks!C215/Indeks!$C$40*Indeks!$C$2)/Indeks!H215*100</f>
        <v>0.69099611785136417</v>
      </c>
      <c r="D215" s="62">
        <f>(Indeks!D215/Indeks!$D$40*Indeks!$D$2)/Indeks!H215*100</f>
        <v>0.10809039518781395</v>
      </c>
      <c r="E215" s="62">
        <f>(Indeks!E215/Indeks!$E$40*Indeks!$E$2)/Indeks!H215*100</f>
        <v>8.7007455473347789E-2</v>
      </c>
      <c r="F215" s="62">
        <f>(Indeks!F215/Indeks!$F$40*Indeks!$F$2)/Indeks!H215*100</f>
        <v>9.1158888194653231E-2</v>
      </c>
      <c r="G215" s="62">
        <f>(Indeks!G215/Indeks!$G$40*Indeks!$G$2)/Indeks!H215*100</f>
        <v>2.2747143292820821E-2</v>
      </c>
      <c r="H215" s="62">
        <f t="shared" si="29"/>
        <v>0.99999999999999989</v>
      </c>
    </row>
    <row r="216" spans="1:8" hidden="1" x14ac:dyDescent="0.2">
      <c r="A216" s="13">
        <f t="shared" si="30"/>
        <v>2022</v>
      </c>
      <c r="B216" s="14" t="s">
        <v>14</v>
      </c>
      <c r="C216" s="63">
        <f>(Indeks!C216/Indeks!$C$40*Indeks!$C$2)/Indeks!H216*100</f>
        <v>0.67603773699111924</v>
      </c>
      <c r="D216" s="63">
        <f>(Indeks!D216/Indeks!$D$40*Indeks!$D$2)/Indeks!H216*100</f>
        <v>0.1274102430429298</v>
      </c>
      <c r="E216" s="63">
        <f>(Indeks!E216/Indeks!$E$40*Indeks!$E$2)/Indeks!H216*100</f>
        <v>8.6098086023210965E-2</v>
      </c>
      <c r="F216" s="63">
        <f>(Indeks!F216/Indeks!$F$40*Indeks!$F$2)/Indeks!H216*100</f>
        <v>9.0026893404568056E-2</v>
      </c>
      <c r="G216" s="63">
        <f>(Indeks!G216/Indeks!$G$40*Indeks!$G$2)/Indeks!H216*100</f>
        <v>2.0427040538172028E-2</v>
      </c>
      <c r="H216" s="63">
        <f t="shared" si="29"/>
        <v>1.0000000000000002</v>
      </c>
    </row>
    <row r="217" spans="1:8" hidden="1" x14ac:dyDescent="0.2">
      <c r="A217" s="18">
        <f t="shared" si="30"/>
        <v>2022</v>
      </c>
      <c r="B217" s="19" t="s">
        <v>15</v>
      </c>
      <c r="C217" s="62">
        <f>(Indeks!C217/Indeks!$C$40*Indeks!$C$2)/Indeks!H217*100</f>
        <v>0.67464363931664162</v>
      </c>
      <c r="D217" s="62">
        <f>(Indeks!D217/Indeks!$D$40*Indeks!$D$2)/Indeks!H217*100</f>
        <v>0.12381916641363805</v>
      </c>
      <c r="E217" s="62">
        <f>(Indeks!E217/Indeks!$E$40*Indeks!$E$2)/Indeks!H217*100</f>
        <v>8.5161728933534936E-2</v>
      </c>
      <c r="F217" s="62">
        <f>(Indeks!F217/Indeks!$F$40*Indeks!$F$2)/Indeks!H217*100</f>
        <v>8.9577404834352475E-2</v>
      </c>
      <c r="G217" s="62">
        <f>(Indeks!G217/Indeks!$G$40*Indeks!$G$2)/Indeks!H217*100</f>
        <v>2.6798060501833049E-2</v>
      </c>
      <c r="H217" s="62">
        <f t="shared" si="29"/>
        <v>1</v>
      </c>
    </row>
    <row r="218" spans="1:8" hidden="1" x14ac:dyDescent="0.2">
      <c r="A218" s="11">
        <f t="shared" si="30"/>
        <v>2022</v>
      </c>
      <c r="B218" t="s">
        <v>16</v>
      </c>
      <c r="C218" s="62">
        <f>(Indeks!C218/Indeks!$C$40*Indeks!$C$2)/Indeks!H218*100</f>
        <v>0.64052599309143787</v>
      </c>
      <c r="D218" s="62">
        <f>(Indeks!D218/Indeks!$D$40*Indeks!$D$2)/Indeks!H218*100</f>
        <v>0.15993398670732417</v>
      </c>
      <c r="E218" s="62">
        <f>(Indeks!E218/Indeks!$E$40*Indeks!$E$2)/Indeks!H218*100</f>
        <v>8.1910532598368377E-2</v>
      </c>
      <c r="F218" s="62">
        <f>(Indeks!F218/Indeks!$F$40*Indeks!$F$2)/Indeks!H218*100</f>
        <v>8.5119184199110437E-2</v>
      </c>
      <c r="G218" s="62">
        <f>(Indeks!G218/Indeks!$G$40*Indeks!$G$2)/Indeks!H218*100</f>
        <v>3.2510303403759079E-2</v>
      </c>
      <c r="H218" s="62">
        <f t="shared" si="29"/>
        <v>0.99999999999999989</v>
      </c>
    </row>
    <row r="219" spans="1:8" ht="13.5" hidden="1" thickBot="1" x14ac:dyDescent="0.25">
      <c r="A219" s="31">
        <f t="shared" si="30"/>
        <v>2022</v>
      </c>
      <c r="B219" s="32" t="s">
        <v>17</v>
      </c>
      <c r="C219" s="65">
        <f>(Indeks!C219/Indeks!$C$40*Indeks!$C$2)/Indeks!H219*100</f>
        <v>0.63270974121163404</v>
      </c>
      <c r="D219" s="65">
        <f>(Indeks!D219/Indeks!$D$40*Indeks!$D$2)/Indeks!H219*100</f>
        <v>0.16945673662784341</v>
      </c>
      <c r="E219" s="65">
        <f>(Indeks!E219/Indeks!$E$40*Indeks!$E$2)/Indeks!H219*100</f>
        <v>8.1745123382910678E-2</v>
      </c>
      <c r="F219" s="65">
        <f>(Indeks!F219/Indeks!$F$40*Indeks!$F$2)/Indeks!H219*100</f>
        <v>8.5570520265963429E-2</v>
      </c>
      <c r="G219" s="65">
        <f>(Indeks!G219/Indeks!$G$40*Indeks!$G$2)/Indeks!H219*100</f>
        <v>3.05178785116486E-2</v>
      </c>
      <c r="H219" s="65">
        <f t="shared" si="29"/>
        <v>1.0000000000000002</v>
      </c>
    </row>
    <row r="220" spans="1:8" x14ac:dyDescent="0.2">
      <c r="A220" s="2">
        <v>2023</v>
      </c>
      <c r="B220" t="s">
        <v>7</v>
      </c>
      <c r="C220" s="62">
        <f>(Indeks!C220/Indeks!$C$40*Indeks!$C$2)/Indeks!H220*100</f>
        <v>0.64482023370472596</v>
      </c>
      <c r="D220" s="62">
        <f>(Indeks!D220/Indeks!$D$40*Indeks!$D$2)/Indeks!H220*100</f>
        <v>0.15742729517994439</v>
      </c>
      <c r="E220" s="62">
        <f>(Indeks!E220/Indeks!$E$40*Indeks!$E$2)/Indeks!H220*100</f>
        <v>8.2043999719301541E-2</v>
      </c>
      <c r="F220" s="62">
        <f>(Indeks!F220/Indeks!$F$40*Indeks!$F$2)/Indeks!H220*100</f>
        <v>8.6835419692036647E-2</v>
      </c>
      <c r="G220" s="62">
        <f>(Indeks!G220/Indeks!$G$40*Indeks!$G$2)/Indeks!H220*100</f>
        <v>2.8873051703991143E-2</v>
      </c>
      <c r="H220" s="62">
        <f t="shared" ref="H220:H231" si="31">SUM(C220:G220)</f>
        <v>0.99999999999999967</v>
      </c>
    </row>
    <row r="221" spans="1:8" x14ac:dyDescent="0.2">
      <c r="A221" s="11">
        <f>A220</f>
        <v>2023</v>
      </c>
      <c r="B221" t="s">
        <v>8</v>
      </c>
      <c r="C221" s="62">
        <f>(Indeks!C221/Indeks!$C$40*Indeks!$C$2)/Indeks!H221*100</f>
        <v>0.65280148504498059</v>
      </c>
      <c r="D221" s="62">
        <f>(Indeks!D221/Indeks!$D$40*Indeks!$D$2)/Indeks!H221*100</f>
        <v>0.14262069308186384</v>
      </c>
      <c r="E221" s="62">
        <f>(Indeks!E221/Indeks!$E$40*Indeks!$E$2)/Indeks!H221*100</f>
        <v>8.2560855987482445E-2</v>
      </c>
      <c r="F221" s="62">
        <f>(Indeks!F221/Indeks!$F$40*Indeks!$F$2)/Indeks!H221*100</f>
        <v>8.7982936775043E-2</v>
      </c>
      <c r="G221" s="62">
        <f>(Indeks!G221/Indeks!$G$40*Indeks!$G$2)/Indeks!H221*100</f>
        <v>3.4034029110630248E-2</v>
      </c>
      <c r="H221" s="62">
        <f t="shared" si="31"/>
        <v>1</v>
      </c>
    </row>
    <row r="222" spans="1:8" x14ac:dyDescent="0.2">
      <c r="A222" s="13">
        <f t="shared" ref="A222:A231" si="32">A221</f>
        <v>2023</v>
      </c>
      <c r="B222" s="14" t="s">
        <v>9</v>
      </c>
      <c r="C222" s="63">
        <f>(Indeks!C222/Indeks!$C$40*Indeks!$C$2)/Indeks!H222*100</f>
        <v>0.64334120608295242</v>
      </c>
      <c r="D222" s="63">
        <f>(Indeks!D222/Indeks!$D$40*Indeks!$D$2)/Indeks!H222*100</f>
        <v>0.1541815169049626</v>
      </c>
      <c r="E222" s="63">
        <f>(Indeks!E222/Indeks!$E$40*Indeks!$E$2)/Indeks!H222*100</f>
        <v>8.1715410472615421E-2</v>
      </c>
      <c r="F222" s="63">
        <f>(Indeks!F222/Indeks!$F$40*Indeks!$F$2)/Indeks!H222*100</f>
        <v>8.7926114475059575E-2</v>
      </c>
      <c r="G222" s="63">
        <f>(Indeks!G222/Indeks!$G$40*Indeks!$G$2)/Indeks!H222*100</f>
        <v>3.2835752064410098E-2</v>
      </c>
      <c r="H222" s="63">
        <f t="shared" si="31"/>
        <v>1.0000000000000002</v>
      </c>
    </row>
    <row r="223" spans="1:8" x14ac:dyDescent="0.2">
      <c r="A223" s="18">
        <f t="shared" si="32"/>
        <v>2023</v>
      </c>
      <c r="B223" s="19" t="s">
        <v>10</v>
      </c>
      <c r="C223" s="62">
        <f>(Indeks!C223/Indeks!$C$40*Indeks!$C$2)/Indeks!H223*100</f>
        <v>0.64571447172492813</v>
      </c>
      <c r="D223" s="62">
        <f>(Indeks!D223/Indeks!$D$40*Indeks!$D$2)/Indeks!H223*100</f>
        <v>0.14900113108413704</v>
      </c>
      <c r="E223" s="62">
        <f>(Indeks!E223/Indeks!$E$40*Indeks!$E$2)/Indeks!H223*100</f>
        <v>8.2126934037783594E-2</v>
      </c>
      <c r="F223" s="62">
        <f>(Indeks!F223/Indeks!$F$40*Indeks!$F$2)/Indeks!H223*100</f>
        <v>8.7256247749352353E-2</v>
      </c>
      <c r="G223" s="62">
        <f>(Indeks!G223/Indeks!$G$40*Indeks!$G$2)/Indeks!H223*100</f>
        <v>3.5901215403799057E-2</v>
      </c>
      <c r="H223" s="62">
        <f t="shared" si="31"/>
        <v>1.0000000000000002</v>
      </c>
    </row>
    <row r="224" spans="1:8" x14ac:dyDescent="0.2">
      <c r="A224" s="11">
        <f t="shared" si="32"/>
        <v>2023</v>
      </c>
      <c r="B224" t="s">
        <v>11</v>
      </c>
      <c r="C224" s="62">
        <f>(Indeks!C224/Indeks!$C$40*Indeks!$C$2)/Indeks!H224*100</f>
        <v>0.64937487035560537</v>
      </c>
      <c r="D224" s="62">
        <f>(Indeks!D224/Indeks!$D$40*Indeks!$D$2)/Indeks!H224*100</f>
        <v>0.14650923616793896</v>
      </c>
      <c r="E224" s="62">
        <f>(Indeks!E224/Indeks!$E$40*Indeks!$E$2)/Indeks!H224*100</f>
        <v>8.2451908730732215E-2</v>
      </c>
      <c r="F224" s="62">
        <f>(Indeks!F224/Indeks!$F$40*Indeks!$F$2)/Indeks!H224*100</f>
        <v>8.81813853432349E-2</v>
      </c>
      <c r="G224" s="62">
        <f>(Indeks!G224/Indeks!$G$40*Indeks!$G$2)/Indeks!H224*100</f>
        <v>3.3482599402488676E-2</v>
      </c>
      <c r="H224" s="62">
        <f t="shared" si="31"/>
        <v>1.0000000000000002</v>
      </c>
    </row>
    <row r="225" spans="1:8" ht="13.5" thickBot="1" x14ac:dyDescent="0.25">
      <c r="A225" s="31">
        <f t="shared" si="32"/>
        <v>2023</v>
      </c>
      <c r="B225" s="32" t="s">
        <v>12</v>
      </c>
      <c r="C225" s="65">
        <f>(Indeks!C225/Indeks!$C$40*Indeks!$C$2)/Indeks!H225*100</f>
        <v>0.65466448187121418</v>
      </c>
      <c r="D225" s="65">
        <f>(Indeks!D225/Indeks!$D$40*Indeks!$D$2)/Indeks!H225*100</f>
        <v>0.13896701298739111</v>
      </c>
      <c r="E225" s="65">
        <f>(Indeks!E225/Indeks!$E$40*Indeks!$E$2)/Indeks!H225*100</f>
        <v>8.333612923667702E-2</v>
      </c>
      <c r="F225" s="65">
        <f>(Indeks!F225/Indeks!$F$40*Indeks!$F$2)/Indeks!H225*100</f>
        <v>8.8972019243345704E-2</v>
      </c>
      <c r="G225" s="65">
        <f>(Indeks!G225/Indeks!$G$40*Indeks!$G$2)/Indeks!H225*100</f>
        <v>3.406035666137229E-2</v>
      </c>
      <c r="H225" s="65">
        <f t="shared" si="31"/>
        <v>1.0000000000000002</v>
      </c>
    </row>
    <row r="226" spans="1:8" x14ac:dyDescent="0.2">
      <c r="A226" s="18">
        <f t="shared" si="32"/>
        <v>2023</v>
      </c>
      <c r="B226" s="23" t="s">
        <v>30</v>
      </c>
      <c r="C226" s="62">
        <f>(Indeks!C226/Indeks!$C$40*Indeks!$C$2)/Indeks!H226*100</f>
        <v>0.69659198667305577</v>
      </c>
      <c r="D226" s="62">
        <f>(Indeks!D226/Indeks!$D$40*Indeks!$D$2)/Indeks!H226*100</f>
        <v>8.6213578522194356E-2</v>
      </c>
      <c r="E226" s="62">
        <f>(Indeks!E226/Indeks!$E$40*Indeks!$E$2)/Indeks!H226*100</f>
        <v>8.665486358275884E-2</v>
      </c>
      <c r="F226" s="62">
        <f>(Indeks!F226/Indeks!$F$40*Indeks!$F$2)/Indeks!H226*100</f>
        <v>9.3562506780594551E-2</v>
      </c>
      <c r="G226" s="62">
        <f>(Indeks!G226/Indeks!$G$40*Indeks!$G$2)/Indeks!H226*100</f>
        <v>3.697706444139659E-2</v>
      </c>
      <c r="H226" s="62">
        <f t="shared" si="31"/>
        <v>1</v>
      </c>
    </row>
    <row r="227" spans="1:8" x14ac:dyDescent="0.2">
      <c r="A227" s="11">
        <f t="shared" si="32"/>
        <v>2023</v>
      </c>
      <c r="B227" t="s">
        <v>13</v>
      </c>
      <c r="C227" s="62">
        <f>(Indeks!C227/Indeks!$C$40*Indeks!$C$2)/Indeks!H227*100</f>
        <v>0.69490411060536095</v>
      </c>
      <c r="D227" s="62">
        <f>(Indeks!D227/Indeks!$D$40*Indeks!$D$2)/Indeks!H227*100</f>
        <v>8.5107146906260867E-2</v>
      </c>
      <c r="E227" s="62">
        <f>(Indeks!E227/Indeks!$E$40*Indeks!$E$2)/Indeks!H227*100</f>
        <v>8.6742980501715514E-2</v>
      </c>
      <c r="F227" s="62">
        <f>(Indeks!F227/Indeks!$F$40*Indeks!$F$2)/Indeks!H227*100</f>
        <v>9.3792210083842364E-2</v>
      </c>
      <c r="G227" s="62">
        <f>(Indeks!G227/Indeks!$G$40*Indeks!$G$2)/Indeks!H227*100</f>
        <v>3.9453551902820461E-2</v>
      </c>
      <c r="H227" s="62">
        <f t="shared" si="31"/>
        <v>1.0000000000000002</v>
      </c>
    </row>
    <row r="228" spans="1:8" x14ac:dyDescent="0.2">
      <c r="A228" s="13">
        <f t="shared" si="32"/>
        <v>2023</v>
      </c>
      <c r="B228" s="14" t="s">
        <v>14</v>
      </c>
      <c r="C228" s="63">
        <f>(Indeks!C228/Indeks!$C$40*Indeks!$C$2)/Indeks!H228*100</f>
        <v>0.69943429992989359</v>
      </c>
      <c r="D228" s="63">
        <f>(Indeks!D228/Indeks!$D$40*Indeks!$D$2)/Indeks!H228*100</f>
        <v>7.6787563361900207E-2</v>
      </c>
      <c r="E228" s="63">
        <f>(Indeks!E228/Indeks!$E$40*Indeks!$E$2)/Indeks!H228*100</f>
        <v>8.8883624490208396E-2</v>
      </c>
      <c r="F228" s="63">
        <f>(Indeks!F228/Indeks!$F$40*Indeks!$F$2)/Indeks!H228*100</f>
        <v>9.5398990846410014E-2</v>
      </c>
      <c r="G228" s="63">
        <f>(Indeks!G228/Indeks!$G$40*Indeks!$G$2)/Indeks!H228*100</f>
        <v>3.9495521371587988E-2</v>
      </c>
      <c r="H228" s="63">
        <f t="shared" si="31"/>
        <v>1.0000000000000002</v>
      </c>
    </row>
    <row r="229" spans="1:8" x14ac:dyDescent="0.2">
      <c r="A229" s="18">
        <f t="shared" si="32"/>
        <v>2023</v>
      </c>
      <c r="B229" s="19" t="s">
        <v>15</v>
      </c>
      <c r="C229" s="62">
        <f>(Indeks!C229/Indeks!$C$40*Indeks!$C$2)/Indeks!H229*100</f>
        <v>0.70485992166479883</v>
      </c>
      <c r="D229" s="62">
        <f>(Indeks!D229/Indeks!$D$40*Indeks!$D$2)/Indeks!H229*100</f>
        <v>7.1647881789571641E-2</v>
      </c>
      <c r="E229" s="62">
        <f>(Indeks!E229/Indeks!$E$40*Indeks!$E$2)/Indeks!H229*100</f>
        <v>8.8498905542235259E-2</v>
      </c>
      <c r="F229" s="62">
        <f>(Indeks!F229/Indeks!$F$40*Indeks!$F$2)/Indeks!H229*100</f>
        <v>9.5401433050104387E-2</v>
      </c>
      <c r="G229" s="62">
        <f>(Indeks!G229/Indeks!$G$40*Indeks!$G$2)/Indeks!H229*100</f>
        <v>3.9591857953290045E-2</v>
      </c>
      <c r="H229" s="62">
        <f t="shared" si="31"/>
        <v>1.0000000000000002</v>
      </c>
    </row>
    <row r="230" spans="1:8" x14ac:dyDescent="0.2">
      <c r="A230" s="11">
        <f t="shared" si="32"/>
        <v>2023</v>
      </c>
      <c r="B230" t="s">
        <v>16</v>
      </c>
      <c r="C230" s="62">
        <f>(Indeks!C230/Indeks!$C$40*Indeks!$C$2)/Indeks!H230*100</f>
        <v>0.70318196245148756</v>
      </c>
      <c r="D230" s="62">
        <f>(Indeks!D230/Indeks!$D$40*Indeks!$D$2)/Indeks!H230*100</f>
        <v>7.2805894643549765E-2</v>
      </c>
      <c r="E230" s="62">
        <f>(Indeks!E230/Indeks!$E$40*Indeks!$E$2)/Indeks!H230*100</f>
        <v>8.8063195135657205E-2</v>
      </c>
      <c r="F230" s="62">
        <f>(Indeks!F230/Indeks!$F$40*Indeks!$F$2)/Indeks!H230*100</f>
        <v>9.4944619776559269E-2</v>
      </c>
      <c r="G230" s="62">
        <f>(Indeks!G230/Indeks!$G$40*Indeks!$G$2)/Indeks!H230*100</f>
        <v>4.1004327992746517E-2</v>
      </c>
      <c r="H230" s="62">
        <f t="shared" si="31"/>
        <v>1.0000000000000004</v>
      </c>
    </row>
    <row r="231" spans="1:8" ht="13.5" thickBot="1" x14ac:dyDescent="0.25">
      <c r="A231" s="31">
        <f t="shared" si="32"/>
        <v>2023</v>
      </c>
      <c r="B231" s="32" t="s">
        <v>17</v>
      </c>
      <c r="C231" s="65">
        <f>(Indeks!C231/Indeks!$C$40*Indeks!$C$2)/Indeks!H231*100</f>
        <v>0.70080889947379132</v>
      </c>
      <c r="D231" s="65">
        <f>(Indeks!D231/Indeks!$D$40*Indeks!$D$2)/Indeks!H231*100</f>
        <v>7.6108757169417174E-2</v>
      </c>
      <c r="E231" s="65">
        <f>(Indeks!E231/Indeks!$E$40*Indeks!$E$2)/Indeks!H231*100</f>
        <v>8.7990278197691812E-2</v>
      </c>
      <c r="F231" s="65">
        <f>(Indeks!F231/Indeks!$F$40*Indeks!$F$2)/Indeks!H231*100</f>
        <v>9.4547895625118006E-2</v>
      </c>
      <c r="G231" s="65">
        <f>(Indeks!G231/Indeks!$G$40*Indeks!$G$2)/Indeks!H231*100</f>
        <v>4.0544169533981884E-2</v>
      </c>
      <c r="H231" s="65">
        <f t="shared" si="31"/>
        <v>1.0000000000000002</v>
      </c>
    </row>
    <row r="232" spans="1:8" x14ac:dyDescent="0.2">
      <c r="A232" s="2">
        <v>2024</v>
      </c>
      <c r="B232" t="s">
        <v>7</v>
      </c>
      <c r="C232" s="62">
        <f>(Indeks!C232/Indeks!$C$40*Indeks!$C$2)/Indeks!H232*100</f>
        <v>0.70434164450426406</v>
      </c>
      <c r="D232" s="62">
        <f>(Indeks!D232/Indeks!$D$40*Indeks!$D$2)/Indeks!H232*100</f>
        <v>7.7701047974358201E-2</v>
      </c>
      <c r="E232" s="62">
        <f>(Indeks!E232/Indeks!$E$40*Indeks!$E$2)/Indeks!H232*100</f>
        <v>8.7042392604513727E-2</v>
      </c>
      <c r="F232" s="62">
        <f>(Indeks!F232/Indeks!$F$40*Indeks!$F$2)/Indeks!H232*100</f>
        <v>9.354532723608748E-2</v>
      </c>
      <c r="G232" s="62">
        <f>(Indeks!G232/Indeks!$G$40*Indeks!$G$2)/Indeks!H232*100</f>
        <v>3.736958768077682E-2</v>
      </c>
      <c r="H232" s="62">
        <f t="shared" ref="H232:H243" si="33">SUM(C232:G232)</f>
        <v>1.0000000000000002</v>
      </c>
    </row>
    <row r="233" spans="1:8" x14ac:dyDescent="0.2">
      <c r="A233" s="11">
        <f>A232</f>
        <v>2024</v>
      </c>
      <c r="B233" t="s">
        <v>8</v>
      </c>
      <c r="C233" s="62">
        <f>(Indeks!C233/Indeks!$C$40*Indeks!$C$2)/Indeks!H233*100</f>
        <v>0.70631636825755839</v>
      </c>
      <c r="D233" s="62">
        <f>(Indeks!D233/Indeks!$D$40*Indeks!$D$2)/Indeks!H233*100</f>
        <v>7.923687269730241E-2</v>
      </c>
      <c r="E233" s="62">
        <f>(Indeks!E233/Indeks!$E$40*Indeks!$E$2)/Indeks!H233*100</f>
        <v>8.6839950656097648E-2</v>
      </c>
      <c r="F233" s="62">
        <f>(Indeks!F233/Indeks!$F$40*Indeks!$F$2)/Indeks!H233*100</f>
        <v>9.3655679967842256E-2</v>
      </c>
      <c r="G233" s="62">
        <f>(Indeks!G233/Indeks!$G$40*Indeks!$G$2)/Indeks!H233*100</f>
        <v>3.395112842119944E-2</v>
      </c>
      <c r="H233" s="62">
        <f t="shared" si="33"/>
        <v>1.0000000000000002</v>
      </c>
    </row>
    <row r="234" spans="1:8" x14ac:dyDescent="0.2">
      <c r="A234" s="13">
        <f t="shared" ref="A234:A243" si="34">A233</f>
        <v>2024</v>
      </c>
      <c r="B234" s="14" t="s">
        <v>9</v>
      </c>
      <c r="C234" s="63">
        <f>(Indeks!C234/Indeks!$C$40*Indeks!$C$2)/Indeks!H234*100</f>
        <v>0.70007005300395353</v>
      </c>
      <c r="D234" s="63">
        <f>(Indeks!D234/Indeks!$D$40*Indeks!$D$2)/Indeks!H234*100</f>
        <v>8.6792102252797668E-2</v>
      </c>
      <c r="E234" s="63">
        <f>(Indeks!E234/Indeks!$E$40*Indeks!$E$2)/Indeks!H234*100</f>
        <v>8.6883284776785238E-2</v>
      </c>
      <c r="F234" s="63">
        <f>(Indeks!F234/Indeks!$F$40*Indeks!$F$2)/Indeks!H234*100</f>
        <v>9.2074576752197615E-2</v>
      </c>
      <c r="G234" s="63">
        <f>(Indeks!G234/Indeks!$G$40*Indeks!$G$2)/Indeks!H234*100</f>
        <v>3.4179983214266151E-2</v>
      </c>
      <c r="H234" s="63">
        <f t="shared" si="33"/>
        <v>1.0000000000000002</v>
      </c>
    </row>
    <row r="235" spans="1:8" x14ac:dyDescent="0.2">
      <c r="A235" s="18">
        <f t="shared" si="34"/>
        <v>2024</v>
      </c>
      <c r="B235" s="19" t="s">
        <v>10</v>
      </c>
      <c r="C235" s="62">
        <f>(Indeks!C235/Indeks!$C$40*Indeks!$C$2)/Indeks!H235*100</f>
        <v>0.70175877957896038</v>
      </c>
      <c r="D235" s="62">
        <f>(Indeks!D235/Indeks!$D$40*Indeks!$D$2)/Indeks!H235*100</f>
        <v>8.4141329116555502E-2</v>
      </c>
      <c r="E235" s="62">
        <f>(Indeks!E235/Indeks!$E$40*Indeks!$E$2)/Indeks!H235*100</f>
        <v>8.6801338422810181E-2</v>
      </c>
      <c r="F235" s="62">
        <f>(Indeks!F235/Indeks!$F$40*Indeks!$F$2)/Indeks!H235*100</f>
        <v>9.1746081044848979E-2</v>
      </c>
      <c r="G235" s="62">
        <f>(Indeks!G235/Indeks!$G$40*Indeks!$G$2)/Indeks!H235*100</f>
        <v>3.5552471836825209E-2</v>
      </c>
      <c r="H235" s="62">
        <f t="shared" si="33"/>
        <v>1.0000000000000002</v>
      </c>
    </row>
    <row r="236" spans="1:8" x14ac:dyDescent="0.2">
      <c r="A236" s="11">
        <f t="shared" si="34"/>
        <v>2024</v>
      </c>
      <c r="B236" t="s">
        <v>11</v>
      </c>
      <c r="C236" s="62">
        <f>(Indeks!C236/Indeks!$C$40*Indeks!$C$2)/Indeks!H236*100</f>
        <v>0.70222337174552019</v>
      </c>
      <c r="D236" s="62">
        <f>(Indeks!D236/Indeks!$D$40*Indeks!$D$2)/Indeks!H236*100</f>
        <v>8.3729272716110553E-2</v>
      </c>
      <c r="E236" s="62">
        <f>(Indeks!E236/Indeks!$E$40*Indeks!$E$2)/Indeks!H236*100</f>
        <v>8.6858804354198085E-2</v>
      </c>
      <c r="F236" s="62">
        <f>(Indeks!F236/Indeks!$F$40*Indeks!$F$2)/Indeks!H236*100</f>
        <v>9.1507287735377044E-2</v>
      </c>
      <c r="G236" s="62">
        <f>(Indeks!G236/Indeks!$G$40*Indeks!$G$2)/Indeks!H236*100</f>
        <v>3.568126344879425E-2</v>
      </c>
      <c r="H236" s="62">
        <f t="shared" si="33"/>
        <v>1.0000000000000002</v>
      </c>
    </row>
    <row r="237" spans="1:8" ht="13.5" thickBot="1" x14ac:dyDescent="0.25">
      <c r="A237" s="13">
        <f t="shared" si="34"/>
        <v>2024</v>
      </c>
      <c r="B237" s="14" t="s">
        <v>12</v>
      </c>
      <c r="C237" s="65">
        <f>(Indeks!C237/Indeks!$C$40*Indeks!$C$2)/Indeks!H237*100</f>
        <v>0.71392198308634225</v>
      </c>
      <c r="D237" s="65">
        <f>(Indeks!D237/Indeks!$D$40*Indeks!$D$2)/Indeks!H237*100</f>
        <v>6.7581495523696369E-2</v>
      </c>
      <c r="E237" s="65">
        <f>(Indeks!E237/Indeks!$E$40*Indeks!$E$2)/Indeks!H237*100</f>
        <v>8.8380401460803601E-2</v>
      </c>
      <c r="F237" s="65">
        <f>(Indeks!F237/Indeks!$F$40*Indeks!$F$2)/Indeks!H237*100</f>
        <v>9.3412396724560268E-2</v>
      </c>
      <c r="G237" s="65">
        <f>(Indeks!G237/Indeks!$G$40*Indeks!$G$2)/Indeks!H237*100</f>
        <v>3.6703723204597589E-2</v>
      </c>
      <c r="H237" s="65">
        <f t="shared" si="33"/>
        <v>1.0000000000000002</v>
      </c>
    </row>
    <row r="238" spans="1:8" x14ac:dyDescent="0.2">
      <c r="A238" s="18">
        <f t="shared" si="34"/>
        <v>2024</v>
      </c>
      <c r="B238" s="23" t="s">
        <v>30</v>
      </c>
      <c r="C238" s="62">
        <f>(Indeks!C238/Indeks!$C$40*Indeks!$C$2)/Indeks!H238*100</f>
        <v>0.71490016100224429</v>
      </c>
      <c r="D238" s="62">
        <f>(Indeks!D238/Indeks!$D$40*Indeks!$D$2)/Indeks!H238*100</f>
        <v>6.7110502600958091E-2</v>
      </c>
      <c r="E238" s="62">
        <f>(Indeks!E238/Indeks!$E$40*Indeks!$E$2)/Indeks!H238*100</f>
        <v>8.7764455582804934E-2</v>
      </c>
      <c r="F238" s="62">
        <f>(Indeks!F238/Indeks!$F$40*Indeks!$F$2)/Indeks!H238*100</f>
        <v>9.313938230990125E-2</v>
      </c>
      <c r="G238" s="62">
        <f>(Indeks!G238/Indeks!$G$40*Indeks!$G$2)/Indeks!H238*100</f>
        <v>3.7085498504091104E-2</v>
      </c>
      <c r="H238" s="62">
        <f t="shared" si="33"/>
        <v>0.99999999999999967</v>
      </c>
    </row>
    <row r="239" spans="1:8" x14ac:dyDescent="0.2">
      <c r="A239" s="11">
        <f t="shared" si="34"/>
        <v>2024</v>
      </c>
      <c r="B239" t="s">
        <v>13</v>
      </c>
      <c r="C239" s="62">
        <f>(Indeks!C239/Indeks!$C$40*Indeks!$C$2)/Indeks!H239*100</f>
        <v>0.71494616872919126</v>
      </c>
      <c r="D239" s="62">
        <f>(Indeks!D239/Indeks!$D$40*Indeks!$D$2)/Indeks!H239*100</f>
        <v>6.8006887177766151E-2</v>
      </c>
      <c r="E239" s="62">
        <f>(Indeks!E239/Indeks!$E$40*Indeks!$E$2)/Indeks!H239*100</f>
        <v>8.7770103704498517E-2</v>
      </c>
      <c r="F239" s="62">
        <f>(Indeks!F239/Indeks!$F$40*Indeks!$F$2)/Indeks!H239*100</f>
        <v>9.3145376337463531E-2</v>
      </c>
      <c r="G239" s="62">
        <f>(Indeks!G239/Indeks!$G$40*Indeks!$G$2)/Indeks!H239*100</f>
        <v>3.6131464051080434E-2</v>
      </c>
      <c r="H239" s="62">
        <f t="shared" si="33"/>
        <v>1</v>
      </c>
    </row>
    <row r="240" spans="1:8" x14ac:dyDescent="0.2">
      <c r="A240" s="13">
        <f t="shared" si="34"/>
        <v>2024</v>
      </c>
      <c r="B240" s="14" t="s">
        <v>14</v>
      </c>
      <c r="C240" s="63">
        <f>(Indeks!C240/Indeks!$C$40*Indeks!$C$2)/Indeks!H240*100</f>
        <v>0.71597835744786087</v>
      </c>
      <c r="D240" s="63">
        <f>(Indeks!D240/Indeks!$D$40*Indeks!$D$2)/Indeks!H240*100</f>
        <v>6.8525472383208011E-2</v>
      </c>
      <c r="E240" s="63">
        <f>(Indeks!E240/Indeks!$E$40*Indeks!$E$2)/Indeks!H240*100</f>
        <v>8.8861088884378242E-2</v>
      </c>
      <c r="F240" s="63">
        <f>(Indeks!F240/Indeks!$F$40*Indeks!$F$2)/Indeks!H240*100</f>
        <v>9.3431281377606409E-2</v>
      </c>
      <c r="G240" s="63">
        <f>(Indeks!G240/Indeks!$G$40*Indeks!$G$2)/Indeks!H240*100</f>
        <v>3.3203799906946267E-2</v>
      </c>
      <c r="H240" s="63">
        <f t="shared" si="33"/>
        <v>0.99999999999999978</v>
      </c>
    </row>
    <row r="241" spans="1:8" x14ac:dyDescent="0.2">
      <c r="A241" s="11">
        <f t="shared" si="34"/>
        <v>2024</v>
      </c>
      <c r="B241" t="s">
        <v>15</v>
      </c>
      <c r="C241" s="62">
        <f>(Indeks!C241/Indeks!$C$40*Indeks!$C$2)/Indeks!H241*100</f>
        <v>0.7117637374099719</v>
      </c>
      <c r="D241" s="62">
        <f>(Indeks!D241/Indeks!$D$40*Indeks!$D$2)/Indeks!H241*100</f>
        <v>7.872538178371602E-2</v>
      </c>
      <c r="E241" s="62">
        <f>(Indeks!E241/Indeks!$E$40*Indeks!$E$2)/Indeks!H241*100</f>
        <v>8.6419196786028052E-2</v>
      </c>
      <c r="F241" s="62">
        <f>(Indeks!F241/Indeks!$F$40*Indeks!$F$2)/Indeks!H241*100</f>
        <v>9.1392505873871974E-2</v>
      </c>
      <c r="G241" s="62">
        <f>(Indeks!G241/Indeks!$G$40*Indeks!$G$2)/Indeks!H241*100</f>
        <v>3.169917814641194E-2</v>
      </c>
      <c r="H241" s="62">
        <f t="shared" si="33"/>
        <v>0.99999999999999989</v>
      </c>
    </row>
    <row r="242" spans="1:8" x14ac:dyDescent="0.2">
      <c r="A242" s="11">
        <f t="shared" si="34"/>
        <v>2024</v>
      </c>
      <c r="B242" t="s">
        <v>16</v>
      </c>
      <c r="C242" s="62">
        <f>(Indeks!C242/Indeks!$C$40*Indeks!$C$2)/Indeks!H242*100</f>
        <v>0.72002864512208087</v>
      </c>
      <c r="D242" s="62">
        <f>(Indeks!D242/Indeks!$D$40*Indeks!$D$2)/Indeks!H242*100</f>
        <v>7.0813767802696076E-2</v>
      </c>
      <c r="E242" s="62">
        <f>(Indeks!E242/Indeks!$E$40*Indeks!$E$2)/Indeks!H242*100</f>
        <v>8.7129566420432319E-2</v>
      </c>
      <c r="F242" s="62">
        <f>(Indeks!F242/Indeks!$F$40*Indeks!$F$2)/Indeks!H242*100</f>
        <v>9.2378942971893405E-2</v>
      </c>
      <c r="G242" s="62">
        <f>(Indeks!G242/Indeks!$G$40*Indeks!$G$2)/Indeks!H242*100</f>
        <v>2.9649077682897203E-2</v>
      </c>
      <c r="H242" s="62">
        <f t="shared" si="33"/>
        <v>0.99999999999999989</v>
      </c>
    </row>
    <row r="243" spans="1:8" ht="13.5" thickBot="1" x14ac:dyDescent="0.25">
      <c r="A243" s="31">
        <f t="shared" si="34"/>
        <v>2024</v>
      </c>
      <c r="B243" s="32" t="s">
        <v>17</v>
      </c>
      <c r="C243" s="65">
        <f>(Indeks!C243/Indeks!$C$40*Indeks!$C$2)/Indeks!H243*100</f>
        <v>0.70965969905990156</v>
      </c>
      <c r="D243" s="65">
        <f>(Indeks!D243/Indeks!$D$40*Indeks!$D$2)/Indeks!H243*100</f>
        <v>8.3302512632254536E-2</v>
      </c>
      <c r="E243" s="65">
        <f>(Indeks!E243/Indeks!$E$40*Indeks!$E$2)/Indeks!H243*100</f>
        <v>8.6380407041416807E-2</v>
      </c>
      <c r="F243" s="65">
        <f>(Indeks!F243/Indeks!$F$40*Indeks!$F$2)/Indeks!H243*100</f>
        <v>9.0606276273612604E-2</v>
      </c>
      <c r="G243" s="65">
        <f>(Indeks!G243/Indeks!$G$40*Indeks!$G$2)/Indeks!H243*100</f>
        <v>3.0051104992814149E-2</v>
      </c>
      <c r="H243" s="65">
        <f t="shared" si="33"/>
        <v>0.99999999999999967</v>
      </c>
    </row>
    <row r="244" spans="1:8" x14ac:dyDescent="0.2">
      <c r="A244" s="2">
        <v>2025</v>
      </c>
      <c r="B244" t="s">
        <v>7</v>
      </c>
      <c r="C244" s="62">
        <f>(Indeks!C244/Indeks!$C$40*Indeks!$C$2)/Indeks!H244*100</f>
        <v>0.70876828296936778</v>
      </c>
      <c r="D244" s="62">
        <f>(Indeks!D244/Indeks!$D$40*Indeks!$D$2)/Indeks!H244*100</f>
        <v>8.7670642558733483E-2</v>
      </c>
      <c r="E244" s="62">
        <f>(Indeks!E244/Indeks!$E$40*Indeks!$E$2)/Indeks!H244*100</f>
        <v>8.5659919885144598E-2</v>
      </c>
      <c r="F244" s="62">
        <f>(Indeks!F244/Indeks!$F$40*Indeks!$F$2)/Indeks!H244*100</f>
        <v>9.0372115574984049E-2</v>
      </c>
      <c r="G244" s="62">
        <f>(Indeks!G244/Indeks!$G$40*Indeks!$G$2)/Indeks!H244*100</f>
        <v>2.7529039011769819E-2</v>
      </c>
      <c r="H244" s="62">
        <f t="shared" ref="H244:H255" si="35">SUM(C244:G244)</f>
        <v>0.99999999999999978</v>
      </c>
    </row>
    <row r="245" spans="1:8" x14ac:dyDescent="0.2">
      <c r="A245" s="11">
        <f>A244</f>
        <v>2025</v>
      </c>
      <c r="B245" t="s">
        <v>8</v>
      </c>
      <c r="C245" s="62">
        <f>(Indeks!C245/Indeks!$C$40*Indeks!$C$2)/Indeks!H245*100</f>
        <v>0.71074164197495171</v>
      </c>
      <c r="D245" s="62">
        <f>(Indeks!D245/Indeks!$D$40*Indeks!$D$2)/Indeks!H245*100</f>
        <v>8.357515838908687E-2</v>
      </c>
      <c r="E245" s="62">
        <f>(Indeks!E245/Indeks!$E$40*Indeks!$E$2)/Indeks!H245*100</f>
        <v>8.5682227715713932E-2</v>
      </c>
      <c r="F245" s="62">
        <f>(Indeks!F245/Indeks!$F$40*Indeks!$F$2)/Indeks!H245*100</f>
        <v>9.0844405097355821E-2</v>
      </c>
      <c r="G245" s="62">
        <f>(Indeks!G245/Indeks!$G$40*Indeks!$G$2)/Indeks!H245*100</f>
        <v>2.9156566822891406E-2</v>
      </c>
      <c r="H245" s="62">
        <f t="shared" si="35"/>
        <v>0.99999999999999967</v>
      </c>
    </row>
    <row r="246" spans="1:8" x14ac:dyDescent="0.2">
      <c r="A246" s="13">
        <f t="shared" ref="A246:A255" si="36">A245</f>
        <v>2025</v>
      </c>
      <c r="B246" s="14" t="s">
        <v>9</v>
      </c>
      <c r="C246" s="63">
        <f>(Indeks!C246/Indeks!$C$40*Indeks!$C$2)/Indeks!H246*100</f>
        <v>0.71017208660225017</v>
      </c>
      <c r="D246" s="63">
        <f>(Indeks!D246/Indeks!$D$40*Indeks!$D$2)/Indeks!H246*100</f>
        <v>8.5293638085485221E-2</v>
      </c>
      <c r="E246" s="63">
        <f>(Indeks!E246/Indeks!$E$40*Indeks!$E$2)/Indeks!H246*100</f>
        <v>8.6117598722613528E-2</v>
      </c>
      <c r="F246" s="63">
        <f>(Indeks!F246/Indeks!$F$40*Indeks!$F$2)/Indeks!H246*100</f>
        <v>9.0213257532360189E-2</v>
      </c>
      <c r="G246" s="63">
        <f>(Indeks!G246/Indeks!$G$40*Indeks!$G$2)/Indeks!H246*100</f>
        <v>2.8203419057290877E-2</v>
      </c>
      <c r="H246" s="63">
        <f t="shared" si="35"/>
        <v>0.99999999999999989</v>
      </c>
    </row>
    <row r="247" spans="1:8" x14ac:dyDescent="0.2">
      <c r="A247" s="18">
        <f t="shared" si="36"/>
        <v>2025</v>
      </c>
      <c r="B247" s="19" t="s">
        <v>10</v>
      </c>
      <c r="C247" s="62">
        <f>(Indeks!C247/Indeks!$C$40*Indeks!$C$2)/Indeks!H247*100</f>
        <v>0.70625816105503947</v>
      </c>
      <c r="D247" s="62">
        <f>(Indeks!D247/Indeks!$D$40*Indeks!$D$2)/Indeks!H247*100</f>
        <v>9.1826246516996266E-2</v>
      </c>
      <c r="E247" s="62">
        <f>(Indeks!E247/Indeks!$E$40*Indeks!$E$2)/Indeks!H247*100</f>
        <v>8.5745899297095682E-2</v>
      </c>
      <c r="F247" s="62">
        <f>(Indeks!F247/Indeks!$F$40*Indeks!$F$2)/Indeks!H247*100</f>
        <v>8.877432841020505E-2</v>
      </c>
      <c r="G247" s="62">
        <f>(Indeks!G247/Indeks!$G$40*Indeks!$G$2)/Indeks!H247*100</f>
        <v>2.7395364720663732E-2</v>
      </c>
      <c r="H247" s="62">
        <f t="shared" si="35"/>
        <v>1.0000000000000002</v>
      </c>
    </row>
    <row r="248" spans="1:8" x14ac:dyDescent="0.2">
      <c r="A248" s="11">
        <f t="shared" si="36"/>
        <v>2025</v>
      </c>
      <c r="B248" t="s">
        <v>11</v>
      </c>
      <c r="C248" s="62">
        <f>(Indeks!C248/Indeks!$C$40*Indeks!$C$2)/Indeks!H248*100</f>
        <v>0.71634046942549312</v>
      </c>
      <c r="D248" s="62">
        <f>(Indeks!D248/Indeks!$D$40*Indeks!$D$2)/Indeks!H248*100</f>
        <v>7.8753409183609943E-2</v>
      </c>
      <c r="E248" s="62">
        <f>(Indeks!E248/Indeks!$E$40*Indeks!$E$2)/Indeks!H248*100</f>
        <v>8.6538009354015386E-2</v>
      </c>
      <c r="F248" s="62">
        <f>(Indeks!F248/Indeks!$F$40*Indeks!$F$2)/Indeks!H248*100</f>
        <v>8.9961887971281018E-2</v>
      </c>
      <c r="G248" s="62">
        <f>(Indeks!G248/Indeks!$G$40*Indeks!$G$2)/Indeks!H248*100</f>
        <v>2.8406224065600508E-2</v>
      </c>
      <c r="H248" s="62">
        <f t="shared" si="35"/>
        <v>1</v>
      </c>
    </row>
    <row r="249" spans="1:8" ht="13.5" thickBot="1" x14ac:dyDescent="0.25">
      <c r="A249" s="13">
        <f t="shared" si="36"/>
        <v>2025</v>
      </c>
      <c r="B249" s="14" t="s">
        <v>12</v>
      </c>
      <c r="C249" s="65">
        <f>(Indeks!C249/Indeks!$C$40*Indeks!$C$2)/Indeks!H249*100</f>
        <v>0.72738907308521672</v>
      </c>
      <c r="D249" s="65">
        <f>(Indeks!D249/Indeks!$D$40*Indeks!$D$2)/Indeks!H249*100</f>
        <v>6.4482030427842424E-2</v>
      </c>
      <c r="E249" s="65">
        <f>(Indeks!E249/Indeks!$E$40*Indeks!$E$2)/Indeks!H249*100</f>
        <v>8.7945849058634618E-2</v>
      </c>
      <c r="F249" s="65">
        <f>(Indeks!F249/Indeks!$F$40*Indeks!$F$2)/Indeks!H249*100</f>
        <v>9.280713471472618E-2</v>
      </c>
      <c r="G249" s="65">
        <f>(Indeks!G249/Indeks!$G$40*Indeks!$G$2)/Indeks!H249*100</f>
        <v>2.7375912713580024E-2</v>
      </c>
      <c r="H249" s="65">
        <f t="shared" si="35"/>
        <v>0.99999999999999978</v>
      </c>
    </row>
    <row r="250" spans="1:8" x14ac:dyDescent="0.2">
      <c r="A250" s="18">
        <f t="shared" si="36"/>
        <v>2025</v>
      </c>
      <c r="B250" s="23" t="s">
        <v>30</v>
      </c>
      <c r="C250" s="62">
        <f>(Indeks!C250/Indeks!$C$40*Indeks!$C$2)/Indeks!H250*100</f>
        <v>0.72778955902523668</v>
      </c>
      <c r="D250" s="62">
        <f>(Indeks!D250/Indeks!$D$40*Indeks!$D$2)/Indeks!H250*100</f>
        <v>6.3849189842356976E-2</v>
      </c>
      <c r="E250" s="62">
        <f>(Indeks!E250/Indeks!$E$40*Indeks!$E$2)/Indeks!H250*100</f>
        <v>8.7718772217557292E-2</v>
      </c>
      <c r="F250" s="62">
        <f>(Indeks!F250/Indeks!$F$40*Indeks!$F$2)/Indeks!H250*100</f>
        <v>9.2732744735958272E-2</v>
      </c>
      <c r="G250" s="62">
        <f>(Indeks!G250/Indeks!$G$40*Indeks!$G$2)/Indeks!H250*100</f>
        <v>2.7909734178890894E-2</v>
      </c>
      <c r="H250" s="62">
        <f t="shared" si="35"/>
        <v>1.0000000000000002</v>
      </c>
    </row>
    <row r="251" spans="1:8" x14ac:dyDescent="0.2">
      <c r="A251" s="11">
        <f t="shared" si="36"/>
        <v>2025</v>
      </c>
      <c r="B251" t="s">
        <v>13</v>
      </c>
      <c r="C251" s="78">
        <f>(Indeks!C251/Indeks!$C$40*Indeks!$C$2)/Indeks!H251*100</f>
        <v>0.72772328094729199</v>
      </c>
      <c r="D251" s="78">
        <f>(Indeks!D251/Indeks!$D$40*Indeks!$D$2)/Indeks!H251*100</f>
        <v>6.3843375247288114E-2</v>
      </c>
      <c r="E251" s="78">
        <f>(Indeks!E251/Indeks!$E$40*Indeks!$E$2)/Indeks!H251*100</f>
        <v>8.7797662291761197E-2</v>
      </c>
      <c r="F251" s="78">
        <f>(Indeks!F251/Indeks!$F$40*Indeks!$F$2)/Indeks!H251*100</f>
        <v>9.2728489008407439E-2</v>
      </c>
      <c r="G251" s="78">
        <f>(Indeks!G251/Indeks!$G$40*Indeks!$G$2)/Indeks!H251*100</f>
        <v>2.7907192505251331E-2</v>
      </c>
      <c r="H251" s="78">
        <f t="shared" si="35"/>
        <v>1.0000000000000002</v>
      </c>
    </row>
    <row r="252" spans="1:8" x14ac:dyDescent="0.2">
      <c r="A252" s="13">
        <f t="shared" si="36"/>
        <v>2025</v>
      </c>
      <c r="B252" s="14" t="s">
        <v>14</v>
      </c>
      <c r="C252" s="81">
        <f>(Indeks!C252/Indeks!$C$40*Indeks!$C$2)/Indeks!H252*100</f>
        <v>0.7276569521900651</v>
      </c>
      <c r="D252" s="81">
        <f>(Indeks!D252/Indeks!$D$40*Indeks!$D$2)/Indeks!H252*100</f>
        <v>6.3837556206111076E-2</v>
      </c>
      <c r="E252" s="81">
        <f>(Indeks!E252/Indeks!$E$40*Indeks!$E$2)/Indeks!H252*100</f>
        <v>8.7876616466646851E-2</v>
      </c>
      <c r="F252" s="81">
        <f>(Indeks!F252/Indeks!$F$40*Indeks!$F$2)/Indeks!H252*100</f>
        <v>9.2724226249046388E-2</v>
      </c>
      <c r="G252" s="81">
        <f>(Indeks!G252/Indeks!$G$40*Indeks!$G$2)/Indeks!H252*100</f>
        <v>2.7904648888130611E-2</v>
      </c>
      <c r="H252" s="81">
        <f t="shared" si="35"/>
        <v>1.0000000000000002</v>
      </c>
    </row>
    <row r="253" spans="1:8" x14ac:dyDescent="0.2">
      <c r="A253" s="11">
        <f t="shared" si="36"/>
        <v>2025</v>
      </c>
      <c r="B253" t="s">
        <v>15</v>
      </c>
      <c r="C253" s="78">
        <f>(Indeks!C253/Indeks!$C$40*Indeks!$C$2)/Indeks!H253*100</f>
        <v>0.72950129222930205</v>
      </c>
      <c r="D253" s="78">
        <f>(Indeks!D253/Indeks!$D$40*Indeks!$D$2)/Indeks!H253*100</f>
        <v>6.3384007620580385E-2</v>
      </c>
      <c r="E253" s="78">
        <f>(Indeks!E253/Indeks!$E$40*Indeks!$E$2)/Indeks!H253*100</f>
        <v>8.7338701114217182E-2</v>
      </c>
      <c r="F253" s="78">
        <f>(Indeks!F253/Indeks!$F$40*Indeks!$F$2)/Indeks!H253*100</f>
        <v>9.2069605137231877E-2</v>
      </c>
      <c r="G253" s="78">
        <f>(Indeks!G253/Indeks!$G$40*Indeks!$G$2)/Indeks!H253*100</f>
        <v>2.7706393898668302E-2</v>
      </c>
      <c r="H253" s="78">
        <f t="shared" si="35"/>
        <v>0.99999999999999978</v>
      </c>
    </row>
    <row r="254" spans="1:8" x14ac:dyDescent="0.2">
      <c r="A254" s="11">
        <f t="shared" si="36"/>
        <v>2025</v>
      </c>
      <c r="B254" t="s">
        <v>16</v>
      </c>
      <c r="C254" s="78">
        <f>(Indeks!C254/Indeks!$C$40*Indeks!$C$2)/Indeks!H254*100</f>
        <v>0.72943515470116183</v>
      </c>
      <c r="D254" s="78">
        <f>(Indeks!D254/Indeks!$D$40*Indeks!$D$2)/Indeks!H254*100</f>
        <v>6.3378261144690209E-2</v>
      </c>
      <c r="E254" s="78">
        <f>(Indeks!E254/Indeks!$E$40*Indeks!$E$2)/Indeks!H254*100</f>
        <v>8.7417284895912717E-2</v>
      </c>
      <c r="F254" s="78">
        <f>(Indeks!F254/Indeks!$F$40*Indeks!$F$2)/Indeks!H254*100</f>
        <v>9.2065417256976215E-2</v>
      </c>
      <c r="G254" s="78">
        <f>(Indeks!G254/Indeks!$G$40*Indeks!$G$2)/Indeks!H254*100</f>
        <v>2.7703882001258857E-2</v>
      </c>
      <c r="H254" s="78">
        <f t="shared" si="35"/>
        <v>0.99999999999999989</v>
      </c>
    </row>
    <row r="255" spans="1:8" ht="13.5" thickBot="1" x14ac:dyDescent="0.25">
      <c r="A255" s="31">
        <f t="shared" si="36"/>
        <v>2025</v>
      </c>
      <c r="B255" s="32" t="s">
        <v>17</v>
      </c>
      <c r="C255" s="187">
        <f>(Indeks!C255/Indeks!$C$40*Indeks!$C$2)/Indeks!H255*100</f>
        <v>0.72936896653962857</v>
      </c>
      <c r="D255" s="187">
        <f>(Indeks!D255/Indeks!$D$40*Indeks!$D$2)/Indeks!H255*100</f>
        <v>6.3372510269428292E-2</v>
      </c>
      <c r="E255" s="187">
        <f>(Indeks!E255/Indeks!$E$40*Indeks!$E$2)/Indeks!H255*100</f>
        <v>8.7495932590732295E-2</v>
      </c>
      <c r="F255" s="187">
        <f>(Indeks!F255/Indeks!$F$40*Indeks!$F$2)/Indeks!H255*100</f>
        <v>9.2061222419413141E-2</v>
      </c>
      <c r="G255" s="187">
        <f>(Indeks!G255/Indeks!$G$40*Indeks!$G$2)/Indeks!H255*100</f>
        <v>2.7701368180797666E-2</v>
      </c>
      <c r="H255" s="187">
        <f t="shared" si="35"/>
        <v>1</v>
      </c>
    </row>
    <row r="256" spans="1:8" x14ac:dyDescent="0.2">
      <c r="A256" s="2">
        <v>2026</v>
      </c>
      <c r="B256" t="s">
        <v>7</v>
      </c>
      <c r="C256" s="78">
        <f>(Indeks!C256/Indeks!$C$40*Indeks!$C$2)/Indeks!H256*100</f>
        <v>0.73096144959761911</v>
      </c>
      <c r="D256" s="78">
        <f>(Indeks!D256/Indeks!$D$40*Indeks!$D$2)/Indeks!H256*100</f>
        <v>6.2961156603127316E-2</v>
      </c>
      <c r="E256" s="78">
        <f>(Indeks!E256/Indeks!$E$40*Indeks!$E$2)/Indeks!H256*100</f>
        <v>8.7037497174857703E-2</v>
      </c>
      <c r="F256" s="78">
        <f>(Indeks!F256/Indeks!$F$40*Indeks!$F$2)/Indeks!H256*100</f>
        <v>9.1518339205619179E-2</v>
      </c>
      <c r="G256" s="78">
        <f>(Indeks!G256/Indeks!$G$40*Indeks!$G$2)/Indeks!H256*100</f>
        <v>2.7521557418776748E-2</v>
      </c>
      <c r="H256" s="78">
        <f t="shared" ref="H256:H267" si="37">SUM(C256:G256)</f>
        <v>0.99999999999999989</v>
      </c>
    </row>
    <row r="257" spans="1:8" x14ac:dyDescent="0.2">
      <c r="A257" s="11">
        <f>A256</f>
        <v>2026</v>
      </c>
      <c r="B257" t="s">
        <v>8</v>
      </c>
      <c r="C257" s="78">
        <f>(Indeks!C257/Indeks!$C$40*Indeks!$C$2)/Indeks!H257*100</f>
        <v>0.73084132474232888</v>
      </c>
      <c r="D257" s="78">
        <f>(Indeks!D257/Indeks!$D$40*Indeks!$D$2)/Indeks!H257*100</f>
        <v>6.2950809682875891E-2</v>
      </c>
      <c r="E257" s="78">
        <f>(Indeks!E257/Indeks!$E$40*Indeks!$E$2)/Indeks!H257*100</f>
        <v>8.7132817932378981E-2</v>
      </c>
      <c r="F257" s="78">
        <f>(Indeks!F257/Indeks!$F$40*Indeks!$F$2)/Indeks!H257*100</f>
        <v>9.1558013065581492E-2</v>
      </c>
      <c r="G257" s="78">
        <f>(Indeks!G257/Indeks!$G$40*Indeks!$G$2)/Indeks!H257*100</f>
        <v>2.7517034576834659E-2</v>
      </c>
      <c r="H257" s="78">
        <f t="shared" si="37"/>
        <v>0.99999999999999989</v>
      </c>
    </row>
    <row r="258" spans="1:8" x14ac:dyDescent="0.2">
      <c r="A258" s="13">
        <f t="shared" ref="A258:A267" si="38">A257</f>
        <v>2026</v>
      </c>
      <c r="B258" s="14" t="s">
        <v>9</v>
      </c>
      <c r="C258" s="78">
        <f>(Indeks!C258/Indeks!$C$40*Indeks!$C$2)/Indeks!H258*100</f>
        <v>0.73072111456797917</v>
      </c>
      <c r="D258" s="78">
        <f>(Indeks!D258/Indeks!$D$40*Indeks!$D$2)/Indeks!H258*100</f>
        <v>6.2940455413691532E-2</v>
      </c>
      <c r="E258" s="78">
        <f>(Indeks!E258/Indeks!$E$40*Indeks!$E$2)/Indeks!H258*100</f>
        <v>8.7228230540900828E-2</v>
      </c>
      <c r="F258" s="78">
        <f>(Indeks!F258/Indeks!$F$40*Indeks!$F$2)/Indeks!H258*100</f>
        <v>9.1597690954898836E-2</v>
      </c>
      <c r="G258" s="78">
        <f>(Indeks!G258/Indeks!$G$40*Indeks!$G$2)/Indeks!H258*100</f>
        <v>2.7512508522529729E-2</v>
      </c>
      <c r="H258" s="78">
        <f t="shared" si="37"/>
        <v>1</v>
      </c>
    </row>
    <row r="259" spans="1:8" x14ac:dyDescent="0.2">
      <c r="A259" s="18">
        <f t="shared" si="38"/>
        <v>2026</v>
      </c>
      <c r="B259" s="19" t="s">
        <v>10</v>
      </c>
      <c r="C259" s="80">
        <f>(Indeks!C259/Indeks!$C$40*Indeks!$C$2)/Indeks!H259*100</f>
        <v>0.73230840755979343</v>
      </c>
      <c r="D259" s="80">
        <f>(Indeks!D259/Indeks!$D$40*Indeks!$D$2)/Indeks!H259*100</f>
        <v>6.2531210969003326E-2</v>
      </c>
      <c r="E259" s="80">
        <f>(Indeks!E259/Indeks!$E$40*Indeks!$E$2)/Indeks!H259*100</f>
        <v>8.6770232980431475E-2</v>
      </c>
      <c r="F259" s="80">
        <f>(Indeks!F259/Indeks!$F$40*Indeks!$F$2)/Indeks!H259*100</f>
        <v>9.1056528748093737E-2</v>
      </c>
      <c r="G259" s="80">
        <f>(Indeks!G259/Indeks!$G$40*Indeks!$G$2)/Indeks!H259*100</f>
        <v>2.7333619742677766E-2</v>
      </c>
      <c r="H259" s="80">
        <f t="shared" si="37"/>
        <v>0.99999999999999978</v>
      </c>
    </row>
    <row r="260" spans="1:8" x14ac:dyDescent="0.2">
      <c r="A260" s="11">
        <f t="shared" si="38"/>
        <v>2026</v>
      </c>
      <c r="B260" t="s">
        <v>11</v>
      </c>
      <c r="C260" s="78">
        <f>(Indeks!C260/Indeks!$C$40*Indeks!$C$2)/Indeks!H260*100</f>
        <v>0.73218850996887697</v>
      </c>
      <c r="D260" s="78">
        <f>(Indeks!D260/Indeks!$D$40*Indeks!$D$2)/Indeks!H260*100</f>
        <v>6.2520973012597431E-2</v>
      </c>
      <c r="E260" s="78">
        <f>(Indeks!E260/Indeks!$E$40*Indeks!$E$2)/Indeks!H260*100</f>
        <v>8.6865314261979396E-2</v>
      </c>
      <c r="F260" s="78">
        <f>(Indeks!F260/Indeks!$F$40*Indeks!$F$2)/Indeks!H260*100</f>
        <v>9.1096058225574622E-2</v>
      </c>
      <c r="G260" s="78">
        <f>(Indeks!G260/Indeks!$G$40*Indeks!$G$2)/Indeks!H260*100</f>
        <v>2.7329144530971412E-2</v>
      </c>
      <c r="H260" s="78">
        <f t="shared" si="37"/>
        <v>0.99999999999999989</v>
      </c>
    </row>
    <row r="261" spans="1:8" x14ac:dyDescent="0.2">
      <c r="A261" s="13">
        <f t="shared" si="38"/>
        <v>2026</v>
      </c>
      <c r="B261" s="14" t="s">
        <v>12</v>
      </c>
      <c r="C261" s="79">
        <f>(Indeks!C261/Indeks!$C$40*Indeks!$C$2)/Indeks!H261*100</f>
        <v>0.73206852703831038</v>
      </c>
      <c r="D261" s="79">
        <f>(Indeks!D261/Indeks!$D$40*Indeks!$D$2)/Indeks!H261*100</f>
        <v>6.2510727769109181E-2</v>
      </c>
      <c r="E261" s="79">
        <f>(Indeks!E261/Indeks!$E$40*Indeks!$E$2)/Indeks!H261*100</f>
        <v>8.6960487262805447E-2</v>
      </c>
      <c r="F261" s="79">
        <f>(Indeks!F261/Indeks!$F$40*Indeks!$F$2)/Indeks!H261*100</f>
        <v>9.1135591795836302E-2</v>
      </c>
      <c r="G261" s="79">
        <f>(Indeks!G261/Indeks!$G$40*Indeks!$G$2)/Indeks!H261*100</f>
        <v>2.732466613393833E-2</v>
      </c>
      <c r="H261" s="79">
        <f t="shared" si="37"/>
        <v>0.99999999999999967</v>
      </c>
    </row>
    <row r="262" spans="1:8" x14ac:dyDescent="0.2">
      <c r="A262" s="18">
        <f t="shared" si="38"/>
        <v>2026</v>
      </c>
      <c r="B262" s="23" t="s">
        <v>30</v>
      </c>
      <c r="C262" s="80">
        <f>(Indeks!C262/Indeks!$C$40*Indeks!$C$2)/Indeks!H262*100</f>
        <v>0.73365061932785436</v>
      </c>
      <c r="D262" s="80">
        <f>(Indeks!D262/Indeks!$D$40*Indeks!$D$2)/Indeks!H262*100</f>
        <v>6.2103589450650296E-2</v>
      </c>
      <c r="E262" s="80">
        <f>(Indeks!E262/Indeks!$E$40*Indeks!$E$2)/Indeks!H262*100</f>
        <v>8.6502937201956565E-2</v>
      </c>
      <c r="F262" s="80">
        <f>(Indeks!F262/Indeks!$F$40*Indeks!$F$2)/Indeks!H262*100</f>
        <v>9.0596156036336403E-2</v>
      </c>
      <c r="G262" s="80">
        <f>(Indeks!G262/Indeks!$G$40*Indeks!$G$2)/Indeks!H262*100</f>
        <v>2.7146697983202454E-2</v>
      </c>
      <c r="H262" s="80">
        <f t="shared" si="37"/>
        <v>1</v>
      </c>
    </row>
    <row r="263" spans="1:8" x14ac:dyDescent="0.2">
      <c r="A263" s="11">
        <f t="shared" si="38"/>
        <v>2026</v>
      </c>
      <c r="B263" t="s">
        <v>13</v>
      </c>
      <c r="C263" s="78">
        <f>(Indeks!C263/Indeks!$C$40*Indeks!$C$2)/Indeks!H263*100</f>
        <v>0.73353095082502617</v>
      </c>
      <c r="D263" s="78">
        <f>(Indeks!D263/Indeks!$D$40*Indeks!$D$2)/Indeks!H263*100</f>
        <v>6.209345950136104E-2</v>
      </c>
      <c r="E263" s="78">
        <f>(Indeks!E263/Indeks!$E$40*Indeks!$E$2)/Indeks!H263*100</f>
        <v>8.6597778574106193E-2</v>
      </c>
      <c r="F263" s="78">
        <f>(Indeks!F263/Indeks!$F$40*Indeks!$F$2)/Indeks!H263*100</f>
        <v>9.0635541115979698E-2</v>
      </c>
      <c r="G263" s="78">
        <f>(Indeks!G263/Indeks!$G$40*Indeks!$G$2)/Indeks!H263*100</f>
        <v>2.7142269983526861E-2</v>
      </c>
      <c r="H263" s="78">
        <f t="shared" si="37"/>
        <v>1</v>
      </c>
    </row>
    <row r="264" spans="1:8" x14ac:dyDescent="0.2">
      <c r="A264" s="13">
        <f t="shared" si="38"/>
        <v>2026</v>
      </c>
      <c r="B264" s="14" t="s">
        <v>14</v>
      </c>
      <c r="C264" s="81">
        <f>(Indeks!C264/Indeks!$C$40*Indeks!$C$2)/Indeks!H264*100</f>
        <v>0.7334111969641679</v>
      </c>
      <c r="D264" s="81">
        <f>(Indeks!D264/Indeks!$D$40*Indeks!$D$2)/Indeks!H264*100</f>
        <v>6.208332232650704E-2</v>
      </c>
      <c r="E264" s="81">
        <f>(Indeks!E264/Indeks!$E$40*Indeks!$E$2)/Indeks!H264*100</f>
        <v>8.6692711532809899E-2</v>
      </c>
      <c r="F264" s="81">
        <f>(Indeks!F264/Indeks!$F$40*Indeks!$F$2)/Indeks!H264*100</f>
        <v>9.0674930351099955E-2</v>
      </c>
      <c r="G264" s="81">
        <f>(Indeks!G264/Indeks!$G$40*Indeks!$G$2)/Indeks!H264*100</f>
        <v>2.7137838825415091E-2</v>
      </c>
      <c r="H264" s="81">
        <f t="shared" si="37"/>
        <v>0.99999999999999989</v>
      </c>
    </row>
    <row r="265" spans="1:8" x14ac:dyDescent="0.2">
      <c r="A265" s="11">
        <f t="shared" si="38"/>
        <v>2026</v>
      </c>
      <c r="B265" t="s">
        <v>15</v>
      </c>
      <c r="C265" s="78">
        <f>(Indeks!C265/Indeks!$C$40*Indeks!$C$2)/Indeks!H265*100</f>
        <v>0.73498807825434997</v>
      </c>
      <c r="D265" s="78">
        <f>(Indeks!D265/Indeks!$D$40*Indeks!$D$2)/Indeks!H265*100</f>
        <v>6.1678286945525615E-2</v>
      </c>
      <c r="E265" s="78">
        <f>(Indeks!E265/Indeks!$E$40*Indeks!$E$2)/Indeks!H265*100</f>
        <v>8.6235618542275891E-2</v>
      </c>
      <c r="F265" s="78">
        <f>(Indeks!F265/Indeks!$F$40*Indeks!$F$2)/Indeks!H265*100</f>
        <v>9.0137226347919194E-2</v>
      </c>
      <c r="G265" s="78">
        <f>(Indeks!G265/Indeks!$G$40*Indeks!$G$2)/Indeks!H265*100</f>
        <v>2.696078990992927E-2</v>
      </c>
      <c r="H265" s="78">
        <f t="shared" si="37"/>
        <v>0.99999999999999989</v>
      </c>
    </row>
    <row r="266" spans="1:8" x14ac:dyDescent="0.2">
      <c r="A266" s="11">
        <f t="shared" si="38"/>
        <v>2026</v>
      </c>
      <c r="B266" t="s">
        <v>16</v>
      </c>
      <c r="C266" s="78">
        <f>(Indeks!C266/Indeks!$C$40*Indeks!$C$2)/Indeks!H266*100</f>
        <v>0.73486864064202106</v>
      </c>
      <c r="D266" s="78">
        <f>(Indeks!D266/Indeks!$D$40*Indeks!$D$2)/Indeks!H266*100</f>
        <v>6.1668264051898805E-2</v>
      </c>
      <c r="E266" s="78">
        <f>(Indeks!E266/Indeks!$E$40*Indeks!$E$2)/Indeks!H266*100</f>
        <v>8.6330219580529943E-2</v>
      </c>
      <c r="F266" s="78">
        <f>(Indeks!F266/Indeks!$F$40*Indeks!$F$2)/Indeks!H266*100</f>
        <v>9.0176467019165152E-2</v>
      </c>
      <c r="G266" s="78">
        <f>(Indeks!G266/Indeks!$G$40*Indeks!$G$2)/Indeks!H266*100</f>
        <v>2.6956408706385132E-2</v>
      </c>
      <c r="H266" s="78">
        <f t="shared" si="37"/>
        <v>1.0000000000000002</v>
      </c>
    </row>
    <row r="267" spans="1:8" x14ac:dyDescent="0.2">
      <c r="A267" s="11">
        <f t="shared" si="38"/>
        <v>2026</v>
      </c>
      <c r="B267" t="s">
        <v>17</v>
      </c>
      <c r="C267" s="78">
        <f>(Indeks!C267/Indeks!$C$40*Indeks!$C$2)/Indeks!H267*100</f>
        <v>0.73474911765548678</v>
      </c>
      <c r="D267" s="78">
        <f>(Indeks!D267/Indeks!$D$40*Indeks!$D$2)/Indeks!H267*100</f>
        <v>6.1658233993890858E-2</v>
      </c>
      <c r="E267" s="78">
        <f>(Indeks!E267/Indeks!$E$40*Indeks!$E$2)/Indeks!H267*100</f>
        <v>8.6424912071617635E-2</v>
      </c>
      <c r="F267" s="78">
        <f>(Indeks!F267/Indeks!$F$40*Indeks!$F$2)/Indeks!H267*100</f>
        <v>9.021571190785535E-2</v>
      </c>
      <c r="G267" s="78">
        <f>(Indeks!G267/Indeks!$G$40*Indeks!$G$2)/Indeks!H267*100</f>
        <v>2.6952024371149373E-2</v>
      </c>
      <c r="H267" s="78">
        <f t="shared" si="37"/>
        <v>1</v>
      </c>
    </row>
  </sheetData>
  <phoneticPr fontId="5" type="noConversion"/>
  <pageMargins left="0.74803149606299213" right="0.74803149606299213" top="0.98425196850393704" bottom="0.98425196850393704" header="0" footer="0"/>
  <pageSetup paperSize="9"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31" workbookViewId="0">
      <selection activeCell="E250" sqref="E250"/>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1" customWidth="1"/>
    <col min="12" max="12" width="12.42578125" bestFit="1" customWidth="1"/>
  </cols>
  <sheetData>
    <row r="1" spans="1:9" ht="18" customHeight="1" x14ac:dyDescent="0.3">
      <c r="A1" s="28" t="s">
        <v>35</v>
      </c>
      <c r="C1" s="2"/>
      <c r="H1" s="74" t="s">
        <v>31</v>
      </c>
    </row>
    <row r="2" spans="1:9" ht="15" customHeight="1" thickBot="1" x14ac:dyDescent="0.3">
      <c r="A2" s="27" t="s">
        <v>1</v>
      </c>
      <c r="B2" s="27" t="s">
        <v>2</v>
      </c>
      <c r="C2" s="27" t="s">
        <v>0</v>
      </c>
      <c r="D2" s="27" t="s">
        <v>19</v>
      </c>
      <c r="E2" s="27" t="s">
        <v>33</v>
      </c>
      <c r="F2" s="27" t="s">
        <v>36</v>
      </c>
      <c r="G2" s="27" t="s">
        <v>34</v>
      </c>
      <c r="H2" s="27" t="s">
        <v>47</v>
      </c>
      <c r="I2" s="26"/>
    </row>
    <row r="3" spans="1:9" ht="15" hidden="1" customHeight="1" x14ac:dyDescent="0.2">
      <c r="A3" s="2">
        <v>2005</v>
      </c>
      <c r="B3" t="s">
        <v>7</v>
      </c>
      <c r="C3" s="87" t="s">
        <v>18</v>
      </c>
      <c r="D3" s="85" t="s">
        <v>18</v>
      </c>
      <c r="E3" s="85"/>
      <c r="F3" s="85"/>
      <c r="G3" s="85"/>
      <c r="H3" s="135"/>
      <c r="I3" s="68"/>
    </row>
    <row r="4" spans="1:9" ht="15" hidden="1" customHeight="1" x14ac:dyDescent="0.2">
      <c r="A4" s="11">
        <f>A3</f>
        <v>2005</v>
      </c>
      <c r="B4" t="s">
        <v>8</v>
      </c>
      <c r="C4" s="87" t="s">
        <v>18</v>
      </c>
      <c r="D4" s="97" t="s">
        <v>18</v>
      </c>
      <c r="E4" s="97"/>
      <c r="F4" s="97"/>
      <c r="G4" s="97"/>
      <c r="H4" s="135"/>
      <c r="I4" s="82"/>
    </row>
    <row r="5" spans="1:9" ht="15" hidden="1" customHeight="1" x14ac:dyDescent="0.2">
      <c r="A5" s="13">
        <f t="shared" ref="A5:A14" si="0">A4</f>
        <v>2005</v>
      </c>
      <c r="B5" s="14" t="s">
        <v>9</v>
      </c>
      <c r="C5" s="88" t="s">
        <v>18</v>
      </c>
      <c r="D5" s="98" t="s">
        <v>18</v>
      </c>
      <c r="E5" s="98" t="s">
        <v>18</v>
      </c>
      <c r="F5" s="98"/>
      <c r="G5" s="98"/>
      <c r="H5" s="135"/>
      <c r="I5" s="82"/>
    </row>
    <row r="6" spans="1:9" ht="15" hidden="1" customHeight="1" x14ac:dyDescent="0.2">
      <c r="A6" s="18">
        <f t="shared" si="0"/>
        <v>2005</v>
      </c>
      <c r="B6" s="19" t="s">
        <v>10</v>
      </c>
      <c r="C6" s="89" t="s">
        <v>18</v>
      </c>
      <c r="D6" s="99" t="s">
        <v>18</v>
      </c>
      <c r="E6" s="99"/>
      <c r="F6" s="99"/>
      <c r="G6" s="99"/>
      <c r="H6" s="135"/>
      <c r="I6" s="82"/>
    </row>
    <row r="7" spans="1:9" ht="15" hidden="1" customHeight="1" x14ac:dyDescent="0.2">
      <c r="A7" s="11">
        <f t="shared" si="0"/>
        <v>2005</v>
      </c>
      <c r="B7" t="s">
        <v>11</v>
      </c>
      <c r="C7" s="87" t="s">
        <v>18</v>
      </c>
      <c r="D7" s="97" t="s">
        <v>18</v>
      </c>
      <c r="E7" s="97"/>
      <c r="F7" s="97"/>
      <c r="G7" s="97"/>
      <c r="H7" s="135"/>
      <c r="I7" s="82"/>
    </row>
    <row r="8" spans="1:9" ht="15" hidden="1" customHeight="1" x14ac:dyDescent="0.2">
      <c r="A8" s="13">
        <f t="shared" si="0"/>
        <v>2005</v>
      </c>
      <c r="B8" s="14" t="s">
        <v>12</v>
      </c>
      <c r="C8" s="88" t="s">
        <v>18</v>
      </c>
      <c r="D8" s="98" t="s">
        <v>18</v>
      </c>
      <c r="E8" s="98" t="s">
        <v>18</v>
      </c>
      <c r="F8" s="98" t="s">
        <v>18</v>
      </c>
      <c r="G8" s="98"/>
      <c r="H8" s="135"/>
      <c r="I8" s="82"/>
    </row>
    <row r="9" spans="1:9" ht="15" hidden="1" customHeight="1" x14ac:dyDescent="0.2">
      <c r="A9" s="18">
        <f t="shared" si="0"/>
        <v>2005</v>
      </c>
      <c r="B9" s="23" t="s">
        <v>30</v>
      </c>
      <c r="C9" s="20">
        <f>Indeks!H10</f>
        <v>94.877593301005618</v>
      </c>
      <c r="D9" s="99" t="str">
        <f>"-"</f>
        <v>-</v>
      </c>
      <c r="E9" s="99"/>
      <c r="F9" s="99"/>
      <c r="G9" s="99"/>
      <c r="H9" s="135"/>
      <c r="I9" s="82"/>
    </row>
    <row r="10" spans="1:9" ht="15" hidden="1" customHeight="1" x14ac:dyDescent="0.2">
      <c r="A10" s="11">
        <f t="shared" si="0"/>
        <v>2005</v>
      </c>
      <c r="B10" t="s">
        <v>13</v>
      </c>
      <c r="C10" s="12">
        <f>Indeks!H11</f>
        <v>95.244326940477876</v>
      </c>
      <c r="D10" s="62">
        <f t="shared" ref="D10:D68" si="1">(C10-C9)/C9</f>
        <v>3.8653345506854376E-3</v>
      </c>
      <c r="E10" s="97"/>
      <c r="F10" s="97"/>
      <c r="G10" s="97"/>
      <c r="H10" s="135"/>
      <c r="I10" s="82"/>
    </row>
    <row r="11" spans="1:9" ht="15" hidden="1" customHeight="1" x14ac:dyDescent="0.2">
      <c r="A11" s="13">
        <f t="shared" si="0"/>
        <v>2005</v>
      </c>
      <c r="B11" s="14" t="s">
        <v>14</v>
      </c>
      <c r="C11" s="15">
        <f>Indeks!H12</f>
        <v>95.53955845189823</v>
      </c>
      <c r="D11" s="63">
        <f t="shared" si="1"/>
        <v>3.0997280457959108E-3</v>
      </c>
      <c r="E11" s="98" t="s">
        <v>18</v>
      </c>
      <c r="F11" s="98"/>
      <c r="G11" s="98"/>
      <c r="H11" s="135"/>
      <c r="I11" s="82"/>
    </row>
    <row r="12" spans="1:9" ht="15" hidden="1" customHeight="1" x14ac:dyDescent="0.2">
      <c r="A12" s="11">
        <f t="shared" si="0"/>
        <v>2005</v>
      </c>
      <c r="B12" t="s">
        <v>15</v>
      </c>
      <c r="C12" s="12">
        <f>Indeks!H13</f>
        <v>95.82670073545998</v>
      </c>
      <c r="D12" s="62">
        <f t="shared" si="1"/>
        <v>3.0054805382664432E-3</v>
      </c>
      <c r="E12" s="97"/>
      <c r="F12" s="97"/>
      <c r="G12" s="97"/>
      <c r="H12" s="135"/>
      <c r="I12" s="82"/>
    </row>
    <row r="13" spans="1:9" ht="15" hidden="1" customHeight="1" x14ac:dyDescent="0.2">
      <c r="A13" s="11">
        <f t="shared" si="0"/>
        <v>2005</v>
      </c>
      <c r="B13" t="s">
        <v>16</v>
      </c>
      <c r="C13" s="12">
        <f>Indeks!H14</f>
        <v>96.22802314849929</v>
      </c>
      <c r="D13" s="62">
        <f t="shared" si="1"/>
        <v>4.1880019864943899E-3</v>
      </c>
      <c r="E13" s="97"/>
      <c r="F13" s="97"/>
      <c r="G13" s="97"/>
      <c r="H13" s="135"/>
      <c r="I13" s="82"/>
    </row>
    <row r="14" spans="1:9" ht="15.75" hidden="1" customHeight="1" thickBot="1" x14ac:dyDescent="0.25">
      <c r="A14" s="31">
        <f t="shared" si="0"/>
        <v>2005</v>
      </c>
      <c r="B14" s="32" t="s">
        <v>17</v>
      </c>
      <c r="C14" s="33">
        <f>Indeks!H15</f>
        <v>96.976587390596848</v>
      </c>
      <c r="D14" s="65">
        <f t="shared" si="1"/>
        <v>7.7790670285554147E-3</v>
      </c>
      <c r="E14" s="65">
        <f>(SUM(C12:C14)-SUM(C9:C11))/SUM(C9:C11)</f>
        <v>1.1796594334622958E-2</v>
      </c>
      <c r="F14" s="100" t="str">
        <f>"-"</f>
        <v>-</v>
      </c>
      <c r="G14" s="100" t="str">
        <f>"-"</f>
        <v>-</v>
      </c>
      <c r="H14" s="135"/>
      <c r="I14" s="82"/>
    </row>
    <row r="15" spans="1:9" ht="15" hidden="1" customHeight="1" x14ac:dyDescent="0.2">
      <c r="A15" s="2">
        <v>2006</v>
      </c>
      <c r="B15" t="s">
        <v>7</v>
      </c>
      <c r="C15" s="12">
        <f>Indeks!H16</f>
        <v>97.050934674472416</v>
      </c>
      <c r="D15" s="62">
        <f t="shared" si="1"/>
        <v>7.6665188862664419E-4</v>
      </c>
      <c r="E15" s="62"/>
      <c r="F15" s="62"/>
      <c r="G15" s="62"/>
      <c r="H15" s="135"/>
      <c r="I15" s="82"/>
    </row>
    <row r="16" spans="1:9" ht="15" hidden="1" customHeight="1" x14ac:dyDescent="0.2">
      <c r="A16" s="11">
        <f>A15</f>
        <v>2006</v>
      </c>
      <c r="B16" t="s">
        <v>8</v>
      </c>
      <c r="C16" s="12">
        <f>Indeks!H17</f>
        <v>96.780044777589509</v>
      </c>
      <c r="D16" s="62">
        <f t="shared" si="1"/>
        <v>-2.791213683737546E-3</v>
      </c>
      <c r="E16" s="62"/>
      <c r="F16" s="62"/>
      <c r="G16" s="62"/>
      <c r="H16" s="135"/>
      <c r="I16" s="82"/>
    </row>
    <row r="17" spans="1:9" ht="15" hidden="1" customHeight="1" x14ac:dyDescent="0.2">
      <c r="A17" s="13">
        <f t="shared" ref="A17:A26" si="2">A16</f>
        <v>2006</v>
      </c>
      <c r="B17" s="14" t="s">
        <v>9</v>
      </c>
      <c r="C17" s="15">
        <f>Indeks!H18</f>
        <v>96.891884464054598</v>
      </c>
      <c r="D17" s="63">
        <f t="shared" si="1"/>
        <v>1.1556068890245723E-3</v>
      </c>
      <c r="E17" s="63">
        <f>(SUM(C15:C17)-SUM(C12:C14))/SUM(C12:C14)</f>
        <v>5.8524892479679116E-3</v>
      </c>
      <c r="F17" s="63"/>
      <c r="G17" s="63"/>
      <c r="H17" s="135"/>
      <c r="I17" s="82"/>
    </row>
    <row r="18" spans="1:9" ht="15" hidden="1" customHeight="1" x14ac:dyDescent="0.2">
      <c r="A18" s="18">
        <f t="shared" si="2"/>
        <v>2006</v>
      </c>
      <c r="B18" s="19" t="s">
        <v>10</v>
      </c>
      <c r="C18" s="12">
        <f>Indeks!H19</f>
        <v>97.576829062683217</v>
      </c>
      <c r="D18" s="62">
        <f t="shared" si="1"/>
        <v>7.0691637634803395E-3</v>
      </c>
      <c r="E18" s="62"/>
      <c r="F18" s="62"/>
      <c r="G18" s="64"/>
      <c r="H18" s="135"/>
      <c r="I18" s="82"/>
    </row>
    <row r="19" spans="1:9" ht="15" hidden="1" customHeight="1" x14ac:dyDescent="0.2">
      <c r="A19" s="11">
        <f t="shared" si="2"/>
        <v>2006</v>
      </c>
      <c r="B19" t="s">
        <v>11</v>
      </c>
      <c r="C19" s="12">
        <f>Indeks!H20</f>
        <v>98.005818203007138</v>
      </c>
      <c r="D19" s="62">
        <f t="shared" si="1"/>
        <v>4.396424278640362E-3</v>
      </c>
      <c r="E19" s="62"/>
      <c r="F19" s="62"/>
      <c r="G19" s="62"/>
      <c r="H19" s="135"/>
      <c r="I19" s="82"/>
    </row>
    <row r="20" spans="1:9" ht="15" hidden="1" customHeight="1" x14ac:dyDescent="0.2">
      <c r="A20" s="13">
        <f t="shared" si="2"/>
        <v>2006</v>
      </c>
      <c r="B20" s="14" t="s">
        <v>12</v>
      </c>
      <c r="C20" s="15">
        <f>Indeks!H21</f>
        <v>98.326705537498157</v>
      </c>
      <c r="D20" s="63">
        <f t="shared" si="1"/>
        <v>3.2741661706893739E-3</v>
      </c>
      <c r="E20" s="63">
        <f>(SUM(C18:C20)-SUM(C15:C17))/SUM(C15:C17)</f>
        <v>1.0960572017450362E-2</v>
      </c>
      <c r="F20" s="63">
        <f>(SUM(C15:C20)-SUM(C9:C14))/SUM(C9:C14)</f>
        <v>1.7295200017946384E-2</v>
      </c>
      <c r="G20" s="63"/>
      <c r="H20" s="135"/>
      <c r="I20" s="82"/>
    </row>
    <row r="21" spans="1:9" ht="15" hidden="1" customHeight="1" x14ac:dyDescent="0.2">
      <c r="A21" s="18">
        <f t="shared" si="2"/>
        <v>2006</v>
      </c>
      <c r="B21" s="23" t="s">
        <v>30</v>
      </c>
      <c r="C21" s="12">
        <f>Indeks!H22</f>
        <v>98.831050706688771</v>
      </c>
      <c r="D21" s="62">
        <f t="shared" si="1"/>
        <v>5.1292796441580737E-3</v>
      </c>
      <c r="E21" s="62"/>
      <c r="F21" s="62"/>
      <c r="G21" s="64"/>
      <c r="H21" s="135"/>
      <c r="I21" s="82"/>
    </row>
    <row r="22" spans="1:9" ht="15" hidden="1" customHeight="1" x14ac:dyDescent="0.2">
      <c r="A22" s="11">
        <f t="shared" si="2"/>
        <v>2006</v>
      </c>
      <c r="B22" t="s">
        <v>13</v>
      </c>
      <c r="C22" s="12">
        <f>Indeks!H23</f>
        <v>98.933463617192928</v>
      </c>
      <c r="D22" s="62">
        <f t="shared" si="1"/>
        <v>1.0362422515176751E-3</v>
      </c>
      <c r="E22" s="62"/>
      <c r="F22" s="62"/>
      <c r="G22" s="62"/>
      <c r="H22" s="135"/>
      <c r="I22" s="82"/>
    </row>
    <row r="23" spans="1:9" ht="15" hidden="1" customHeight="1" x14ac:dyDescent="0.2">
      <c r="A23" s="13">
        <f t="shared" si="2"/>
        <v>2006</v>
      </c>
      <c r="B23" s="14" t="s">
        <v>14</v>
      </c>
      <c r="C23" s="15">
        <f>Indeks!H24</f>
        <v>98.932825106588282</v>
      </c>
      <c r="D23" s="63">
        <f t="shared" si="1"/>
        <v>-6.453939661061115E-6</v>
      </c>
      <c r="E23" s="63">
        <f>(SUM(C21:C23)-SUM(C18:C20))/SUM(C18:C20)</f>
        <v>9.4858724320636689E-3</v>
      </c>
      <c r="F23" s="63"/>
      <c r="G23" s="63"/>
      <c r="H23" s="135"/>
      <c r="I23" s="82"/>
    </row>
    <row r="24" spans="1:9" ht="15" hidden="1" customHeight="1" x14ac:dyDescent="0.2">
      <c r="A24" s="18">
        <f t="shared" si="2"/>
        <v>2006</v>
      </c>
      <c r="B24" s="19" t="s">
        <v>15</v>
      </c>
      <c r="C24" s="20">
        <f>Indeks!H25</f>
        <v>99.604424377229464</v>
      </c>
      <c r="D24" s="64">
        <f t="shared" si="1"/>
        <v>6.7884372039069257E-3</v>
      </c>
      <c r="E24" s="64"/>
      <c r="F24" s="64"/>
      <c r="G24" s="64"/>
      <c r="H24" s="135"/>
      <c r="I24" s="82"/>
    </row>
    <row r="25" spans="1:9" ht="15" hidden="1" customHeight="1" x14ac:dyDescent="0.2">
      <c r="A25" s="11">
        <f t="shared" si="2"/>
        <v>2006</v>
      </c>
      <c r="B25" t="s">
        <v>16</v>
      </c>
      <c r="C25" s="12">
        <f>Indeks!H26</f>
        <v>99.181172786653505</v>
      </c>
      <c r="D25" s="62">
        <f t="shared" si="1"/>
        <v>-4.2493252003845509E-3</v>
      </c>
      <c r="E25" s="62"/>
      <c r="F25" s="62"/>
      <c r="G25" s="62"/>
      <c r="H25" s="135"/>
      <c r="I25" s="82"/>
    </row>
    <row r="26" spans="1:9" ht="15.75" hidden="1" customHeight="1" thickBot="1" x14ac:dyDescent="0.25">
      <c r="A26" s="31">
        <f t="shared" si="2"/>
        <v>2006</v>
      </c>
      <c r="B26" s="32" t="s">
        <v>17</v>
      </c>
      <c r="C26" s="33">
        <f>Indeks!H27</f>
        <v>99.139066493069535</v>
      </c>
      <c r="D26" s="65">
        <f t="shared" si="1"/>
        <v>-4.2453917816180642E-4</v>
      </c>
      <c r="E26" s="65">
        <f>(SUM(C24:C26)-SUM(C21:C23))/SUM(C21:C23)</f>
        <v>4.1366202637289594E-3</v>
      </c>
      <c r="F26" s="65">
        <f>(SUM(C21:C26)-SUM(C15:C20))/SUM(C15:C20)</f>
        <v>1.7087300498381235E-2</v>
      </c>
      <c r="G26" s="100" t="str">
        <f>"-"</f>
        <v>-</v>
      </c>
      <c r="H26" s="135"/>
      <c r="I26" s="82"/>
    </row>
    <row r="27" spans="1:9" ht="15" hidden="1" customHeight="1" x14ac:dyDescent="0.2">
      <c r="A27" s="2">
        <v>2007</v>
      </c>
      <c r="B27" t="s">
        <v>7</v>
      </c>
      <c r="C27" s="12">
        <f>Indeks!H28</f>
        <v>99.456920563826344</v>
      </c>
      <c r="D27" s="62">
        <f t="shared" si="1"/>
        <v>3.2061434709901066E-3</v>
      </c>
      <c r="E27" s="62"/>
      <c r="F27" s="62"/>
      <c r="G27" s="62"/>
      <c r="H27" s="135"/>
      <c r="I27" s="82"/>
    </row>
    <row r="28" spans="1:9" ht="15" hidden="1" customHeight="1" x14ac:dyDescent="0.2">
      <c r="A28" s="11">
        <f>A27</f>
        <v>2007</v>
      </c>
      <c r="B28" t="s">
        <v>8</v>
      </c>
      <c r="C28" s="12">
        <f>Indeks!H29</f>
        <v>99.544557199973397</v>
      </c>
      <c r="D28" s="62">
        <f t="shared" si="1"/>
        <v>8.8115171523747704E-4</v>
      </c>
      <c r="E28" s="62"/>
      <c r="F28" s="62"/>
      <c r="G28" s="62"/>
      <c r="H28" s="135"/>
      <c r="I28" s="82"/>
    </row>
    <row r="29" spans="1:9" ht="15" hidden="1" customHeight="1" x14ac:dyDescent="0.2">
      <c r="A29" s="13">
        <f t="shared" ref="A29:A38" si="3">A28</f>
        <v>2007</v>
      </c>
      <c r="B29" s="14" t="s">
        <v>9</v>
      </c>
      <c r="C29" s="15">
        <f>Indeks!H30</f>
        <v>99.343026490691472</v>
      </c>
      <c r="D29" s="63">
        <f t="shared" si="1"/>
        <v>-2.0245276582734097E-3</v>
      </c>
      <c r="E29" s="63">
        <f>(SUM(C27:C29)-SUM(C24:C26))/SUM(C24:C26)</f>
        <v>1.4092173248942382E-3</v>
      </c>
      <c r="F29" s="63"/>
      <c r="G29" s="63"/>
      <c r="H29" s="135"/>
      <c r="I29" s="82"/>
    </row>
    <row r="30" spans="1:9" ht="15" hidden="1" customHeight="1" x14ac:dyDescent="0.2">
      <c r="A30" s="18">
        <f t="shared" si="3"/>
        <v>2007</v>
      </c>
      <c r="B30" s="19" t="s">
        <v>10</v>
      </c>
      <c r="C30" s="20">
        <f>Indeks!H31</f>
        <v>100.28002937770356</v>
      </c>
      <c r="D30" s="64">
        <f t="shared" si="1"/>
        <v>9.4319945758838224E-3</v>
      </c>
      <c r="E30" s="62"/>
      <c r="F30" s="62"/>
      <c r="G30" s="64"/>
      <c r="H30" s="135"/>
      <c r="I30" s="82"/>
    </row>
    <row r="31" spans="1:9" ht="15" hidden="1" customHeight="1" x14ac:dyDescent="0.2">
      <c r="A31" s="11">
        <f t="shared" si="3"/>
        <v>2007</v>
      </c>
      <c r="B31" t="s">
        <v>11</v>
      </c>
      <c r="C31" s="12">
        <f>Indeks!H32</f>
        <v>100.41925841090202</v>
      </c>
      <c r="D31" s="62">
        <f t="shared" si="1"/>
        <v>1.3884023973911757E-3</v>
      </c>
      <c r="E31" s="62"/>
      <c r="F31" s="62"/>
      <c r="G31" s="62"/>
      <c r="H31" s="135"/>
      <c r="I31" s="82"/>
    </row>
    <row r="32" spans="1:9" ht="15" hidden="1" customHeight="1" x14ac:dyDescent="0.2">
      <c r="A32" s="13">
        <f t="shared" si="3"/>
        <v>2007</v>
      </c>
      <c r="B32" s="14" t="s">
        <v>12</v>
      </c>
      <c r="C32" s="15">
        <f>Indeks!H33</f>
        <v>100.71335224007852</v>
      </c>
      <c r="D32" s="63">
        <f t="shared" si="1"/>
        <v>2.9286596398980709E-3</v>
      </c>
      <c r="E32" s="63">
        <f>(SUM(C30:C32)-SUM(C27:C29))/SUM(C27:C29)</f>
        <v>1.0283868918114062E-2</v>
      </c>
      <c r="F32" s="63">
        <f>(SUM(C27:C32)-SUM(C21:C26))/SUM(C21:C26)</f>
        <v>8.6359757444055014E-3</v>
      </c>
      <c r="G32" s="63"/>
      <c r="H32" s="135"/>
      <c r="I32" s="82"/>
    </row>
    <row r="33" spans="1:9" ht="15" hidden="1" customHeight="1" x14ac:dyDescent="0.2">
      <c r="A33" s="18">
        <f t="shared" si="3"/>
        <v>2007</v>
      </c>
      <c r="B33" s="23" t="s">
        <v>30</v>
      </c>
      <c r="C33" s="20">
        <f>Indeks!H34</f>
        <v>101.57690215916763</v>
      </c>
      <c r="D33" s="64">
        <f t="shared" si="1"/>
        <v>8.5743339873207303E-3</v>
      </c>
      <c r="E33" s="64"/>
      <c r="F33" s="64"/>
      <c r="G33" s="64"/>
      <c r="H33" s="135"/>
      <c r="I33" s="82"/>
    </row>
    <row r="34" spans="1:9" ht="15" hidden="1" customHeight="1" x14ac:dyDescent="0.2">
      <c r="A34" s="11">
        <f t="shared" si="3"/>
        <v>2007</v>
      </c>
      <c r="B34" t="s">
        <v>13</v>
      </c>
      <c r="C34" s="12">
        <f>Indeks!H35</f>
        <v>101.97745923585269</v>
      </c>
      <c r="D34" s="62">
        <f t="shared" si="1"/>
        <v>3.9433874057056926E-3</v>
      </c>
      <c r="E34" s="62"/>
      <c r="F34" s="62"/>
      <c r="G34" s="62"/>
      <c r="H34" s="135"/>
      <c r="I34" s="82"/>
    </row>
    <row r="35" spans="1:9" ht="15" hidden="1" customHeight="1" x14ac:dyDescent="0.2">
      <c r="A35" s="13">
        <f t="shared" si="3"/>
        <v>2007</v>
      </c>
      <c r="B35" s="14" t="s">
        <v>14</v>
      </c>
      <c r="C35" s="15">
        <f>Indeks!H36</f>
        <v>101.87870419452176</v>
      </c>
      <c r="D35" s="63">
        <f t="shared" si="1"/>
        <v>-9.6840068453296385E-4</v>
      </c>
      <c r="E35" s="63">
        <f>(SUM(C33:C35)-SUM(C30:C32))/SUM(C30:C32)</f>
        <v>1.3338609689611447E-2</v>
      </c>
      <c r="F35" s="63"/>
      <c r="G35" s="63"/>
      <c r="H35" s="135"/>
      <c r="I35" s="82"/>
    </row>
    <row r="36" spans="1:9" ht="15" hidden="1" customHeight="1" x14ac:dyDescent="0.2">
      <c r="A36" s="18">
        <f t="shared" si="3"/>
        <v>2007</v>
      </c>
      <c r="B36" s="19" t="s">
        <v>15</v>
      </c>
      <c r="C36" s="20">
        <f>Indeks!H37</f>
        <v>102.55060770997702</v>
      </c>
      <c r="D36" s="64">
        <f t="shared" si="1"/>
        <v>6.5951321305810781E-3</v>
      </c>
      <c r="E36" s="64"/>
      <c r="F36" s="64"/>
      <c r="G36" s="64"/>
      <c r="H36" s="135"/>
      <c r="I36" s="82"/>
    </row>
    <row r="37" spans="1:9" ht="15" hidden="1" customHeight="1" x14ac:dyDescent="0.2">
      <c r="A37" s="11">
        <f t="shared" si="3"/>
        <v>2007</v>
      </c>
      <c r="B37" t="s">
        <v>16</v>
      </c>
      <c r="C37" s="12">
        <f>Indeks!H38</f>
        <v>102.8223632354651</v>
      </c>
      <c r="D37" s="62">
        <f t="shared" si="1"/>
        <v>2.6499650422027727E-3</v>
      </c>
      <c r="E37" s="62"/>
      <c r="F37" s="62"/>
      <c r="G37" s="62"/>
      <c r="H37" s="135"/>
      <c r="I37" s="82"/>
    </row>
    <row r="38" spans="1:9" ht="15.75" hidden="1" customHeight="1" thickBot="1" x14ac:dyDescent="0.25">
      <c r="A38" s="31">
        <f t="shared" si="3"/>
        <v>2007</v>
      </c>
      <c r="B38" s="32" t="s">
        <v>17</v>
      </c>
      <c r="C38" s="33">
        <f>Indeks!H39</f>
        <v>102.90138671874034</v>
      </c>
      <c r="D38" s="65">
        <f t="shared" si="1"/>
        <v>7.6854373687434985E-4</v>
      </c>
      <c r="E38" s="65">
        <f>(SUM(C36:C38)-SUM(C33:C35))/SUM(C33:C35)</f>
        <v>9.3025032150862493E-3</v>
      </c>
      <c r="F38" s="65">
        <f>(SUM(C33:C38)-SUM(C27:C32))/SUM(C27:C32)</f>
        <v>2.3259879608808123E-2</v>
      </c>
      <c r="G38" s="65">
        <f>(SUM(C27:C38)-SUM(C15:C26))/SUM(C15:C26)</f>
        <v>2.9010155024740476E-2</v>
      </c>
      <c r="H38" s="135"/>
      <c r="I38" s="82"/>
    </row>
    <row r="39" spans="1:9" ht="15.75" hidden="1" customHeight="1" x14ac:dyDescent="0.25">
      <c r="A39" s="2">
        <v>2008</v>
      </c>
      <c r="B39" s="2" t="s">
        <v>7</v>
      </c>
      <c r="C39" s="8">
        <f>Indeks!H40</f>
        <v>100</v>
      </c>
      <c r="D39" s="51">
        <f t="shared" si="1"/>
        <v>-2.819579804760728E-2</v>
      </c>
      <c r="E39" s="66"/>
      <c r="F39" s="66"/>
      <c r="G39" s="66"/>
      <c r="H39" s="135"/>
      <c r="I39" s="83"/>
    </row>
    <row r="40" spans="1:9" ht="15" hidden="1" customHeight="1" x14ac:dyDescent="0.2">
      <c r="A40" s="11">
        <f>A39</f>
        <v>2008</v>
      </c>
      <c r="B40" t="s">
        <v>8</v>
      </c>
      <c r="C40" s="12">
        <f>Indeks!H41</f>
        <v>100.18581398608603</v>
      </c>
      <c r="D40" s="62">
        <f t="shared" si="1"/>
        <v>1.8581398608603194E-3</v>
      </c>
      <c r="E40" s="62"/>
      <c r="F40" s="62"/>
      <c r="G40" s="62"/>
      <c r="H40" s="135"/>
      <c r="I40" s="48"/>
    </row>
    <row r="41" spans="1:9" ht="15" hidden="1" customHeight="1" x14ac:dyDescent="0.2">
      <c r="A41" s="13">
        <f t="shared" ref="A41:A50" si="4">A40</f>
        <v>2008</v>
      </c>
      <c r="B41" s="14" t="s">
        <v>9</v>
      </c>
      <c r="C41" s="15">
        <f>Indeks!H42</f>
        <v>100.73046300994248</v>
      </c>
      <c r="D41" s="63">
        <f t="shared" si="1"/>
        <v>5.4363886680812165E-3</v>
      </c>
      <c r="E41" s="63">
        <f>(SUM(C39:C41)-SUM(C36:C38))/SUM(C36:C38)</f>
        <v>-2.38686108176712E-2</v>
      </c>
      <c r="F41" s="63"/>
      <c r="G41" s="63"/>
      <c r="H41" s="135"/>
      <c r="I41" s="48"/>
    </row>
    <row r="42" spans="1:9" ht="15" hidden="1" customHeight="1" x14ac:dyDescent="0.2">
      <c r="A42" s="18">
        <f t="shared" si="4"/>
        <v>2008</v>
      </c>
      <c r="B42" s="19" t="s">
        <v>10</v>
      </c>
      <c r="C42" s="20">
        <f>Indeks!H43</f>
        <v>101.56395404262641</v>
      </c>
      <c r="D42" s="64">
        <f t="shared" si="1"/>
        <v>8.2744683959375311E-3</v>
      </c>
      <c r="E42" s="64"/>
      <c r="F42" s="64"/>
      <c r="G42" s="64"/>
      <c r="H42" s="135"/>
      <c r="I42" s="48"/>
    </row>
    <row r="43" spans="1:9" ht="15" hidden="1" customHeight="1" x14ac:dyDescent="0.2">
      <c r="A43" s="11">
        <f t="shared" si="4"/>
        <v>2008</v>
      </c>
      <c r="B43" t="s">
        <v>11</v>
      </c>
      <c r="C43" s="12">
        <f>Indeks!H44</f>
        <v>101.85239097257276</v>
      </c>
      <c r="D43" s="62">
        <f t="shared" si="1"/>
        <v>2.8399537283207796E-3</v>
      </c>
      <c r="E43" s="62"/>
      <c r="F43" s="62"/>
      <c r="G43" s="62"/>
      <c r="H43" s="135"/>
      <c r="I43" s="48"/>
    </row>
    <row r="44" spans="1:9" ht="15" hidden="1" customHeight="1" x14ac:dyDescent="0.2">
      <c r="A44" s="13">
        <f t="shared" si="4"/>
        <v>2008</v>
      </c>
      <c r="B44" s="14" t="s">
        <v>12</v>
      </c>
      <c r="C44" s="15">
        <f>Indeks!H45</f>
        <v>102.2365382721145</v>
      </c>
      <c r="D44" s="63">
        <f t="shared" si="1"/>
        <v>3.7716080680441017E-3</v>
      </c>
      <c r="E44" s="63">
        <f>(SUM(C42:C44)-SUM(C39:C41))/SUM(C39:C41)</f>
        <v>1.5740611769391538E-2</v>
      </c>
      <c r="F44" s="63">
        <f>(SUM(C39:C44)-SUM(C33:C38))/SUM(C33:C38)</f>
        <v>-1.1631377917081494E-2</v>
      </c>
      <c r="G44" s="63"/>
      <c r="H44" s="135"/>
      <c r="I44" s="48"/>
    </row>
    <row r="45" spans="1:9" ht="15" hidden="1" customHeight="1" x14ac:dyDescent="0.2">
      <c r="A45" s="18">
        <f t="shared" si="4"/>
        <v>2008</v>
      </c>
      <c r="B45" s="23" t="s">
        <v>30</v>
      </c>
      <c r="C45" s="25">
        <f>Indeks!H46</f>
        <v>103.35707602379499</v>
      </c>
      <c r="D45" s="64">
        <f t="shared" si="1"/>
        <v>1.0960247389226394E-2</v>
      </c>
      <c r="E45" s="64"/>
      <c r="F45" s="64"/>
      <c r="G45" s="64"/>
      <c r="H45" s="135"/>
      <c r="I45" s="48"/>
    </row>
    <row r="46" spans="1:9" ht="15" hidden="1" customHeight="1" x14ac:dyDescent="0.2">
      <c r="A46" s="11">
        <f t="shared" si="4"/>
        <v>2008</v>
      </c>
      <c r="B46" t="s">
        <v>13</v>
      </c>
      <c r="C46" s="12">
        <f>Indeks!H47</f>
        <v>103.79039353999535</v>
      </c>
      <c r="D46" s="62">
        <f t="shared" si="1"/>
        <v>4.1924320314615168E-3</v>
      </c>
      <c r="E46" s="62"/>
      <c r="F46" s="62"/>
      <c r="G46" s="62"/>
      <c r="H46" s="135"/>
      <c r="I46" s="48"/>
    </row>
    <row r="47" spans="1:9" ht="15" hidden="1" customHeight="1" x14ac:dyDescent="0.2">
      <c r="A47" s="13">
        <f t="shared" si="4"/>
        <v>2008</v>
      </c>
      <c r="B47" s="14" t="s">
        <v>14</v>
      </c>
      <c r="C47" s="15">
        <f>Indeks!H48</f>
        <v>103.78373901444698</v>
      </c>
      <c r="D47" s="63">
        <f t="shared" si="1"/>
        <v>-6.4115043034363405E-5</v>
      </c>
      <c r="E47" s="63">
        <f>(SUM(C45:C47)-SUM(C42:C44))/SUM(C42:C44)</f>
        <v>1.7269018483172697E-2</v>
      </c>
      <c r="F47" s="63"/>
      <c r="G47" s="63"/>
      <c r="H47" s="135"/>
      <c r="I47" s="48"/>
    </row>
    <row r="48" spans="1:9" ht="15" hidden="1" customHeight="1" x14ac:dyDescent="0.2">
      <c r="A48" s="18">
        <f t="shared" si="4"/>
        <v>2008</v>
      </c>
      <c r="B48" s="19" t="s">
        <v>15</v>
      </c>
      <c r="C48" s="20">
        <f>Indeks!H49</f>
        <v>104.36775874745034</v>
      </c>
      <c r="D48" s="64">
        <f t="shared" si="1"/>
        <v>5.6272758964876169E-3</v>
      </c>
      <c r="E48" s="64"/>
      <c r="F48" s="64"/>
      <c r="G48" s="64"/>
      <c r="H48" s="135"/>
      <c r="I48" s="48"/>
    </row>
    <row r="49" spans="1:9" ht="15" hidden="1" customHeight="1" x14ac:dyDescent="0.2">
      <c r="A49" s="11">
        <f t="shared" si="4"/>
        <v>2008</v>
      </c>
      <c r="B49" t="s">
        <v>16</v>
      </c>
      <c r="C49" s="12">
        <f>Indeks!H50</f>
        <v>104.44791443110756</v>
      </c>
      <c r="D49" s="62">
        <f t="shared" si="1"/>
        <v>7.6801192838859113E-4</v>
      </c>
      <c r="E49" s="62"/>
      <c r="F49" s="62"/>
      <c r="G49" s="62"/>
      <c r="H49" s="135"/>
      <c r="I49" s="48"/>
    </row>
    <row r="50" spans="1:9" ht="15.75" hidden="1" customHeight="1" thickBot="1" x14ac:dyDescent="0.25">
      <c r="A50" s="31">
        <f t="shared" si="4"/>
        <v>2008</v>
      </c>
      <c r="B50" s="32" t="s">
        <v>17</v>
      </c>
      <c r="C50" s="33">
        <f>Indeks!H51</f>
        <v>106.0488006358957</v>
      </c>
      <c r="D50" s="65">
        <f t="shared" si="1"/>
        <v>1.5327124658329701E-2</v>
      </c>
      <c r="E50" s="65">
        <f>(SUM(C48:C50)-SUM(C45:C47))/SUM(C45:C47)</f>
        <v>1.2649953197691322E-2</v>
      </c>
      <c r="F50" s="65">
        <f>(SUM(C45:C50)-SUM(C39:C44))/SUM(C39:C44)</f>
        <v>3.1697163931591187E-2</v>
      </c>
      <c r="G50" s="65">
        <f>(SUM(C39:C50)-SUM(C27:C38))/SUM(C27:C38)</f>
        <v>1.5575465196727605E-2</v>
      </c>
      <c r="H50" s="135"/>
      <c r="I50" s="48"/>
    </row>
    <row r="51" spans="1:9" ht="15" hidden="1" customHeight="1" x14ac:dyDescent="0.2">
      <c r="A51" s="2">
        <v>2009</v>
      </c>
      <c r="B51" t="s">
        <v>7</v>
      </c>
      <c r="C51" s="12">
        <f>Indeks!H52</f>
        <v>106.09217690036866</v>
      </c>
      <c r="D51" s="51">
        <f t="shared" si="1"/>
        <v>4.0902173539784421E-4</v>
      </c>
      <c r="E51" s="62"/>
      <c r="F51" s="62"/>
      <c r="G51" s="62"/>
      <c r="H51" s="135"/>
      <c r="I51" s="48"/>
    </row>
    <row r="52" spans="1:9" ht="15" hidden="1" customHeight="1" x14ac:dyDescent="0.2">
      <c r="A52" s="11">
        <f>A51</f>
        <v>2009</v>
      </c>
      <c r="B52" t="s">
        <v>8</v>
      </c>
      <c r="C52" s="12">
        <f>Indeks!H53</f>
        <v>105.28323029142204</v>
      </c>
      <c r="D52" s="62">
        <f t="shared" si="1"/>
        <v>-7.6249411839884856E-3</v>
      </c>
      <c r="E52" s="62"/>
      <c r="F52" s="62"/>
      <c r="G52" s="62"/>
      <c r="H52" s="135"/>
      <c r="I52" s="48"/>
    </row>
    <row r="53" spans="1:9" ht="15" hidden="1" customHeight="1" x14ac:dyDescent="0.2">
      <c r="A53" s="13">
        <f t="shared" ref="A53:A62" si="5">A52</f>
        <v>2009</v>
      </c>
      <c r="B53" s="14" t="s">
        <v>9</v>
      </c>
      <c r="C53" s="15">
        <f>Indeks!H54</f>
        <v>104.51445451577709</v>
      </c>
      <c r="D53" s="63">
        <f t="shared" si="1"/>
        <v>-7.3019774708374457E-3</v>
      </c>
      <c r="E53" s="63">
        <f>(SUM(C51:C53)-SUM(C48:C50))/SUM(C48:C50)</f>
        <v>3.2566007866559363E-3</v>
      </c>
      <c r="F53" s="63"/>
      <c r="G53" s="63"/>
      <c r="H53" s="135"/>
      <c r="I53" s="48"/>
    </row>
    <row r="54" spans="1:9" ht="15" hidden="1" customHeight="1" x14ac:dyDescent="0.2">
      <c r="A54" s="18">
        <f t="shared" si="5"/>
        <v>2009</v>
      </c>
      <c r="B54" s="19" t="s">
        <v>10</v>
      </c>
      <c r="C54" s="20">
        <f>Indeks!H55</f>
        <v>105.04663813159006</v>
      </c>
      <c r="D54" s="64">
        <f t="shared" si="1"/>
        <v>5.0919618561720776E-3</v>
      </c>
      <c r="E54" s="64"/>
      <c r="F54" s="64"/>
      <c r="G54" s="64"/>
      <c r="H54" s="135"/>
      <c r="I54" s="48"/>
    </row>
    <row r="55" spans="1:9" ht="15" hidden="1" customHeight="1" x14ac:dyDescent="0.2">
      <c r="A55" s="11">
        <f t="shared" si="5"/>
        <v>2009</v>
      </c>
      <c r="B55" t="s">
        <v>11</v>
      </c>
      <c r="C55" s="12">
        <f>Indeks!H56</f>
        <v>104.79615045441524</v>
      </c>
      <c r="D55" s="62">
        <f t="shared" si="1"/>
        <v>-2.3845377789343033E-3</v>
      </c>
      <c r="E55" s="62"/>
      <c r="F55" s="62"/>
      <c r="G55" s="62"/>
      <c r="H55" s="135"/>
      <c r="I55" s="48"/>
    </row>
    <row r="56" spans="1:9" ht="15" hidden="1" customHeight="1" x14ac:dyDescent="0.2">
      <c r="A56" s="13">
        <f t="shared" si="5"/>
        <v>2009</v>
      </c>
      <c r="B56" s="14" t="s">
        <v>12</v>
      </c>
      <c r="C56" s="15">
        <f>Indeks!H57</f>
        <v>103.83071178405029</v>
      </c>
      <c r="D56" s="63">
        <f t="shared" si="1"/>
        <v>-9.2125394509113938E-3</v>
      </c>
      <c r="E56" s="63">
        <f>(SUM(C54:C56)-SUM(C51:C53))/SUM(C51:C53)</f>
        <v>-7.0162471360475619E-3</v>
      </c>
      <c r="F56" s="63">
        <f>(SUM(C51:C56)-SUM(C45:C50))/SUM(C45:C50)</f>
        <v>6.0206226903436865E-3</v>
      </c>
      <c r="G56" s="63"/>
      <c r="H56" s="135"/>
      <c r="I56" s="48"/>
    </row>
    <row r="57" spans="1:9" ht="15" hidden="1" customHeight="1" x14ac:dyDescent="0.2">
      <c r="A57" s="18">
        <f t="shared" si="5"/>
        <v>2009</v>
      </c>
      <c r="B57" s="23" t="s">
        <v>30</v>
      </c>
      <c r="C57" s="20">
        <f>Indeks!H58</f>
        <v>104.44605142466827</v>
      </c>
      <c r="D57" s="64">
        <f t="shared" si="1"/>
        <v>5.9263740953425601E-3</v>
      </c>
      <c r="E57" s="64"/>
      <c r="F57" s="64"/>
      <c r="G57" s="64"/>
      <c r="H57" s="135"/>
      <c r="I57" s="48"/>
    </row>
    <row r="58" spans="1:9" ht="15" hidden="1" customHeight="1" x14ac:dyDescent="0.2">
      <c r="A58" s="11">
        <f t="shared" si="5"/>
        <v>2009</v>
      </c>
      <c r="B58" t="s">
        <v>13</v>
      </c>
      <c r="C58" s="12">
        <f>Indeks!H59</f>
        <v>104.1491461626774</v>
      </c>
      <c r="D58" s="62">
        <f t="shared" si="1"/>
        <v>-2.842666218023716E-3</v>
      </c>
      <c r="E58" s="62"/>
      <c r="F58" s="62"/>
      <c r="G58" s="62"/>
      <c r="H58" s="135"/>
      <c r="I58" s="48"/>
    </row>
    <row r="59" spans="1:9" ht="15" hidden="1" customHeight="1" x14ac:dyDescent="0.2">
      <c r="A59" s="13">
        <f t="shared" si="5"/>
        <v>2009</v>
      </c>
      <c r="B59" s="14" t="s">
        <v>14</v>
      </c>
      <c r="C59" s="15">
        <f>Indeks!H60</f>
        <v>103.44716793884997</v>
      </c>
      <c r="D59" s="63">
        <f t="shared" si="1"/>
        <v>-6.7401246163934815E-3</v>
      </c>
      <c r="E59" s="63">
        <f>(SUM(C57:C59)-SUM(C54:C56))/SUM(C54:C56)</f>
        <v>-5.2001040634151131E-3</v>
      </c>
      <c r="F59" s="63"/>
      <c r="G59" s="63"/>
      <c r="H59" s="135"/>
      <c r="I59" s="56"/>
    </row>
    <row r="60" spans="1:9" ht="15" hidden="1" customHeight="1" x14ac:dyDescent="0.2">
      <c r="A60" s="18">
        <f t="shared" si="5"/>
        <v>2009</v>
      </c>
      <c r="B60" s="19" t="s">
        <v>15</v>
      </c>
      <c r="C60" s="20">
        <f>Indeks!H61</f>
        <v>103.36663495130347</v>
      </c>
      <c r="D60" s="64">
        <f t="shared" si="1"/>
        <v>-7.7849388389356164E-4</v>
      </c>
      <c r="E60" s="64"/>
      <c r="F60" s="64"/>
      <c r="G60" s="64"/>
      <c r="H60" s="135"/>
      <c r="I60" s="56"/>
    </row>
    <row r="61" spans="1:9" ht="15" hidden="1" customHeight="1" x14ac:dyDescent="0.2">
      <c r="A61" s="11">
        <f t="shared" si="5"/>
        <v>2009</v>
      </c>
      <c r="B61" t="s">
        <v>16</v>
      </c>
      <c r="C61" s="12">
        <f>Indeks!H62</f>
        <v>103.18114502437211</v>
      </c>
      <c r="D61" s="62">
        <f t="shared" si="1"/>
        <v>-1.7944854934935116E-3</v>
      </c>
      <c r="E61" s="62"/>
      <c r="F61" s="62"/>
      <c r="G61" s="62"/>
      <c r="H61" s="135"/>
      <c r="I61" s="56"/>
    </row>
    <row r="62" spans="1:9" ht="15.75" hidden="1" customHeight="1" thickBot="1" x14ac:dyDescent="0.25">
      <c r="A62" s="31">
        <f t="shared" si="5"/>
        <v>2009</v>
      </c>
      <c r="B62" s="32" t="s">
        <v>17</v>
      </c>
      <c r="C62" s="33">
        <f>Indeks!H63</f>
        <v>104.05413322536</v>
      </c>
      <c r="D62" s="65">
        <f t="shared" si="1"/>
        <v>8.4607337976496059E-3</v>
      </c>
      <c r="E62" s="104">
        <f>(SUM(C60:C62)-SUM(C57:C59))/SUM(C57:C59)</f>
        <v>-4.6162075548011241E-3</v>
      </c>
      <c r="F62" s="104">
        <f>(SUM(C57:C62)-SUM(C51:C56))/SUM(C51:C56)</f>
        <v>-1.0990289091090807E-2</v>
      </c>
      <c r="G62" s="65">
        <f>(SUM(C51:C62)-SUM(C39:C50))/SUM(C39:C50)</f>
        <v>1.610139906761178E-2</v>
      </c>
      <c r="H62" s="135"/>
      <c r="I62" s="56"/>
    </row>
    <row r="63" spans="1:9" ht="15" hidden="1" customHeight="1" x14ac:dyDescent="0.2">
      <c r="A63" s="49">
        <v>2010</v>
      </c>
      <c r="B63" s="50" t="s">
        <v>7</v>
      </c>
      <c r="C63" s="12">
        <f>Indeks!H64</f>
        <v>104.16711890346113</v>
      </c>
      <c r="D63" s="62">
        <f t="shared" si="1"/>
        <v>1.0858355607693323E-3</v>
      </c>
      <c r="E63" s="110"/>
      <c r="F63" s="110"/>
      <c r="G63" s="110"/>
      <c r="H63" s="58"/>
      <c r="I63" s="48"/>
    </row>
    <row r="64" spans="1:9" ht="15" hidden="1" customHeight="1" x14ac:dyDescent="0.2">
      <c r="A64" s="11">
        <f>A63</f>
        <v>2010</v>
      </c>
      <c r="B64" t="s">
        <v>8</v>
      </c>
      <c r="C64" s="12">
        <f>Indeks!H65</f>
        <v>104.03851045982636</v>
      </c>
      <c r="D64" s="62">
        <f t="shared" si="1"/>
        <v>-1.2346356987560088E-3</v>
      </c>
      <c r="E64" s="110"/>
      <c r="F64" s="110"/>
      <c r="G64" s="110"/>
      <c r="H64" s="58"/>
      <c r="I64" s="48"/>
    </row>
    <row r="65" spans="1:9" ht="15" hidden="1" customHeight="1" x14ac:dyDescent="0.2">
      <c r="A65" s="13">
        <f t="shared" ref="A65:A74" si="6">A64</f>
        <v>2010</v>
      </c>
      <c r="B65" s="14" t="s">
        <v>9</v>
      </c>
      <c r="C65" s="15">
        <f>Indeks!H66</f>
        <v>103.77735204696242</v>
      </c>
      <c r="D65" s="63">
        <f t="shared" si="1"/>
        <v>-2.510209072675827E-3</v>
      </c>
      <c r="E65" s="67">
        <f>(SUM(C63:C65)-SUM(C60:C62))/SUM(C60:C62)</f>
        <v>4.4464253132928616E-3</v>
      </c>
      <c r="F65" s="67"/>
      <c r="G65" s="67"/>
      <c r="H65" s="105"/>
      <c r="I65" s="48"/>
    </row>
    <row r="66" spans="1:9" ht="15" hidden="1" customHeight="1" x14ac:dyDescent="0.2">
      <c r="A66" s="18">
        <f t="shared" si="6"/>
        <v>2010</v>
      </c>
      <c r="B66" s="19" t="s">
        <v>10</v>
      </c>
      <c r="C66" s="20">
        <f>Indeks!H67</f>
        <v>103.98427004020188</v>
      </c>
      <c r="D66" s="64">
        <f t="shared" si="1"/>
        <v>1.9938646453979757E-3</v>
      </c>
      <c r="E66" s="113"/>
      <c r="F66" s="113"/>
      <c r="G66" s="113"/>
      <c r="H66" s="25"/>
      <c r="I66" s="48"/>
    </row>
    <row r="67" spans="1:9" ht="15" hidden="1" customHeight="1" x14ac:dyDescent="0.2">
      <c r="A67" s="11">
        <f t="shared" si="6"/>
        <v>2010</v>
      </c>
      <c r="B67" t="s">
        <v>11</v>
      </c>
      <c r="C67" s="12">
        <f>Indeks!H68</f>
        <v>103.92296095416047</v>
      </c>
      <c r="D67" s="62">
        <f t="shared" si="1"/>
        <v>-5.8959961942033838E-4</v>
      </c>
      <c r="E67" s="110"/>
      <c r="F67" s="110"/>
      <c r="G67" s="110"/>
      <c r="H67" s="58"/>
      <c r="I67" s="48"/>
    </row>
    <row r="68" spans="1:9" ht="15" hidden="1" customHeight="1" x14ac:dyDescent="0.2">
      <c r="A68" s="13">
        <f t="shared" si="6"/>
        <v>2010</v>
      </c>
      <c r="B68" s="14" t="s">
        <v>12</v>
      </c>
      <c r="C68" s="15">
        <f>Indeks!H69</f>
        <v>103.83513028075595</v>
      </c>
      <c r="D68" s="63">
        <f t="shared" si="1"/>
        <v>-8.4515176047829008E-4</v>
      </c>
      <c r="E68" s="67">
        <f>(SUM(C66:C68)-SUM(C63:C65))/SUM(C63:C65)</f>
        <v>-7.7126045159224544E-4</v>
      </c>
      <c r="F68" s="67">
        <f>(SUM(C63:C68)-SUM(C57:C62))/SUM(C57:C62)</f>
        <v>1.7362465135738147E-3</v>
      </c>
      <c r="G68" s="67"/>
      <c r="H68" s="105"/>
      <c r="I68" s="48"/>
    </row>
    <row r="69" spans="1:9" ht="15" hidden="1" customHeight="1" x14ac:dyDescent="0.2">
      <c r="A69" s="18">
        <f t="shared" si="6"/>
        <v>2010</v>
      </c>
      <c r="B69" s="23" t="s">
        <v>30</v>
      </c>
      <c r="C69" s="20">
        <f>Indeks!H70</f>
        <v>104.14425254560685</v>
      </c>
      <c r="D69" s="64">
        <f t="shared" ref="D69:D86" si="7">(C69-C68)/C68</f>
        <v>2.9770489430222188E-3</v>
      </c>
      <c r="E69" s="113"/>
      <c r="F69" s="113"/>
      <c r="G69" s="113"/>
      <c r="H69" s="25"/>
      <c r="I69" s="48"/>
    </row>
    <row r="70" spans="1:9" ht="15" hidden="1" customHeight="1" x14ac:dyDescent="0.2">
      <c r="A70" s="11">
        <f t="shared" si="6"/>
        <v>2010</v>
      </c>
      <c r="B70" t="s">
        <v>13</v>
      </c>
      <c r="C70" s="12">
        <f>Indeks!H71</f>
        <v>104.40647073685754</v>
      </c>
      <c r="D70" s="62">
        <f t="shared" si="7"/>
        <v>2.5178364128722844E-3</v>
      </c>
      <c r="E70" s="110"/>
      <c r="F70" s="110"/>
      <c r="G70" s="110"/>
      <c r="H70" s="58"/>
      <c r="I70" s="48"/>
    </row>
    <row r="71" spans="1:9" ht="15" hidden="1" customHeight="1" x14ac:dyDescent="0.2">
      <c r="A71" s="13">
        <f t="shared" si="6"/>
        <v>2010</v>
      </c>
      <c r="B71" s="14" t="s">
        <v>14</v>
      </c>
      <c r="C71" s="15">
        <f>Indeks!H72</f>
        <v>104.54469879264096</v>
      </c>
      <c r="D71" s="63">
        <f t="shared" si="7"/>
        <v>1.3239414646224392E-3</v>
      </c>
      <c r="E71" s="67">
        <f>(SUM(C69:C71)-SUM(C66:C68))/SUM(C66:C68)</f>
        <v>4.3403174161274023E-3</v>
      </c>
      <c r="F71" s="67"/>
      <c r="G71" s="67"/>
      <c r="H71" s="105"/>
      <c r="I71" s="56"/>
    </row>
    <row r="72" spans="1:9" ht="15" hidden="1" customHeight="1" x14ac:dyDescent="0.2">
      <c r="A72" s="18">
        <f t="shared" si="6"/>
        <v>2010</v>
      </c>
      <c r="B72" s="19" t="s">
        <v>15</v>
      </c>
      <c r="C72" s="20">
        <f>Indeks!H73</f>
        <v>104.23761867390358</v>
      </c>
      <c r="D72" s="64">
        <f t="shared" si="7"/>
        <v>-2.9373093259032891E-3</v>
      </c>
      <c r="E72" s="113"/>
      <c r="F72" s="113"/>
      <c r="G72" s="113"/>
      <c r="H72" s="25"/>
      <c r="I72" s="56"/>
    </row>
    <row r="73" spans="1:9" ht="15" hidden="1" customHeight="1" x14ac:dyDescent="0.2">
      <c r="A73" s="11">
        <f t="shared" si="6"/>
        <v>2010</v>
      </c>
      <c r="B73" t="s">
        <v>16</v>
      </c>
      <c r="C73" s="12">
        <f>Indeks!H74</f>
        <v>104.43495300502208</v>
      </c>
      <c r="D73" s="110">
        <f t="shared" si="7"/>
        <v>1.8931201002954348E-3</v>
      </c>
      <c r="E73" s="110"/>
      <c r="F73" s="110"/>
      <c r="G73" s="110"/>
      <c r="H73" s="58"/>
      <c r="I73" s="56"/>
    </row>
    <row r="74" spans="1:9" ht="15.75" hidden="1" customHeight="1" thickBot="1" x14ac:dyDescent="0.25">
      <c r="A74" s="31">
        <f t="shared" si="6"/>
        <v>2010</v>
      </c>
      <c r="B74" s="32" t="s">
        <v>17</v>
      </c>
      <c r="C74" s="33">
        <f>Indeks!H75</f>
        <v>104.93537278499915</v>
      </c>
      <c r="D74" s="65">
        <f t="shared" si="7"/>
        <v>4.7916886595716747E-3</v>
      </c>
      <c r="E74" s="104">
        <f>(SUM(C72:C74)-SUM(C69:C71))/SUM(C69:C71)</f>
        <v>1.6369526753939258E-3</v>
      </c>
      <c r="F74" s="104">
        <f>(SUM(C69:C74)-SUM(C63:C68))/SUM(C63:C68)</f>
        <v>4.7745756823677982E-3</v>
      </c>
      <c r="G74" s="104">
        <f>(SUM(C63:C74)-SUM(C51:C62))/SUM(C51:C62)</f>
        <v>-1.4206362607025527E-3</v>
      </c>
      <c r="H74" s="101"/>
      <c r="I74" s="56"/>
    </row>
    <row r="75" spans="1:9" ht="15" hidden="1" customHeight="1" x14ac:dyDescent="0.2">
      <c r="A75" s="2">
        <v>2011</v>
      </c>
      <c r="B75" t="s">
        <v>7</v>
      </c>
      <c r="C75" s="58">
        <f>Indeks!H76</f>
        <v>105.29661253453993</v>
      </c>
      <c r="D75" s="51">
        <f t="shared" si="7"/>
        <v>3.4424974148700655E-3</v>
      </c>
      <c r="E75" s="115"/>
      <c r="F75" s="115"/>
      <c r="G75" s="115"/>
      <c r="H75" s="58"/>
      <c r="I75" s="48"/>
    </row>
    <row r="76" spans="1:9" ht="15" hidden="1" customHeight="1" x14ac:dyDescent="0.2">
      <c r="A76" s="11">
        <f>A75</f>
        <v>2011</v>
      </c>
      <c r="B76" t="s">
        <v>8</v>
      </c>
      <c r="C76" s="58">
        <f>Indeks!H77</f>
        <v>105.19903116170703</v>
      </c>
      <c r="D76" s="62">
        <f t="shared" si="7"/>
        <v>-9.2672850991190874E-4</v>
      </c>
      <c r="E76" s="110"/>
      <c r="F76" s="110"/>
      <c r="G76" s="110"/>
      <c r="H76" s="58"/>
      <c r="I76" s="48"/>
    </row>
    <row r="77" spans="1:9" ht="15" hidden="1" customHeight="1" x14ac:dyDescent="0.2">
      <c r="A77" s="13">
        <f t="shared" ref="A77:A86" si="8">A76</f>
        <v>2011</v>
      </c>
      <c r="B77" s="14" t="s">
        <v>9</v>
      </c>
      <c r="C77" s="105">
        <f>Indeks!H78</f>
        <v>106.14123161796554</v>
      </c>
      <c r="D77" s="63">
        <f t="shared" si="7"/>
        <v>8.956360584825275E-3</v>
      </c>
      <c r="E77" s="67">
        <f>(SUM(C75:C77)-SUM(C72:C74))/SUM(C72:C74)</f>
        <v>9.6583358417953145E-3</v>
      </c>
      <c r="F77" s="67"/>
      <c r="G77" s="67"/>
      <c r="H77" s="105"/>
      <c r="I77" s="48"/>
    </row>
    <row r="78" spans="1:9" ht="15" hidden="1" customHeight="1" x14ac:dyDescent="0.2">
      <c r="A78" s="18">
        <f t="shared" si="8"/>
        <v>2011</v>
      </c>
      <c r="B78" s="19" t="s">
        <v>10</v>
      </c>
      <c r="C78" s="25">
        <f>Indeks!H79</f>
        <v>106.53045709618947</v>
      </c>
      <c r="D78" s="64">
        <f t="shared" si="7"/>
        <v>3.667052589184767E-3</v>
      </c>
      <c r="E78" s="113"/>
      <c r="F78" s="113"/>
      <c r="G78" s="113"/>
      <c r="H78" s="25"/>
      <c r="I78" s="48"/>
    </row>
    <row r="79" spans="1:9" ht="15" hidden="1" customHeight="1" x14ac:dyDescent="0.2">
      <c r="A79" s="11">
        <f t="shared" si="8"/>
        <v>2011</v>
      </c>
      <c r="B79" t="s">
        <v>11</v>
      </c>
      <c r="C79" s="58">
        <f>Indeks!H80</f>
        <v>106.71744262000846</v>
      </c>
      <c r="D79" s="62">
        <f t="shared" si="7"/>
        <v>1.7552306534285797E-3</v>
      </c>
      <c r="E79" s="110"/>
      <c r="F79" s="110"/>
      <c r="G79" s="110"/>
      <c r="H79" s="58"/>
      <c r="I79" s="48"/>
    </row>
    <row r="80" spans="1:9" ht="15" hidden="1" customHeight="1" x14ac:dyDescent="0.2">
      <c r="A80" s="13">
        <f t="shared" si="8"/>
        <v>2011</v>
      </c>
      <c r="B80" s="14" t="s">
        <v>12</v>
      </c>
      <c r="C80" s="105">
        <f>Indeks!H81</f>
        <v>106.69752969286036</v>
      </c>
      <c r="D80" s="63">
        <f t="shared" si="7"/>
        <v>-1.8659486827287382E-4</v>
      </c>
      <c r="E80" s="67">
        <f>(SUM(C78:C80)-SUM(C75:C77))/SUM(C75:C77)</f>
        <v>1.0449048587795075E-2</v>
      </c>
      <c r="F80" s="67">
        <f>(SUM(C75:C80)-SUM(C69:C74))/SUM(C69:C74)</f>
        <v>1.5763339901614146E-2</v>
      </c>
      <c r="G80" s="67"/>
      <c r="H80" s="105"/>
      <c r="I80" s="48"/>
    </row>
    <row r="81" spans="1:9" ht="15" hidden="1" customHeight="1" x14ac:dyDescent="0.2">
      <c r="A81" s="18">
        <f t="shared" si="8"/>
        <v>2011</v>
      </c>
      <c r="B81" s="23" t="s">
        <v>30</v>
      </c>
      <c r="C81" s="25">
        <f>Indeks!H82</f>
        <v>106.78628964062369</v>
      </c>
      <c r="D81" s="64">
        <f t="shared" si="7"/>
        <v>8.3188381229481448E-4</v>
      </c>
      <c r="E81" s="113"/>
      <c r="F81" s="113"/>
      <c r="G81" s="113"/>
      <c r="H81" s="25"/>
      <c r="I81" s="48"/>
    </row>
    <row r="82" spans="1:9" ht="15" hidden="1" customHeight="1" x14ac:dyDescent="0.2">
      <c r="A82" s="11">
        <f t="shared" si="8"/>
        <v>2011</v>
      </c>
      <c r="B82" t="s">
        <v>13</v>
      </c>
      <c r="C82" s="58">
        <f>Indeks!H83</f>
        <v>106.81131456571661</v>
      </c>
      <c r="D82" s="62">
        <f t="shared" si="7"/>
        <v>2.3434586197478989E-4</v>
      </c>
      <c r="E82" s="110"/>
      <c r="F82" s="110"/>
      <c r="G82" s="110"/>
      <c r="H82" s="58"/>
      <c r="I82" s="48"/>
    </row>
    <row r="83" spans="1:9" ht="15" hidden="1" customHeight="1" x14ac:dyDescent="0.2">
      <c r="A83" s="13">
        <f t="shared" si="8"/>
        <v>2011</v>
      </c>
      <c r="B83" s="14" t="s">
        <v>14</v>
      </c>
      <c r="C83" s="105">
        <f>Indeks!H84</f>
        <v>106.58800327714586</v>
      </c>
      <c r="D83" s="63">
        <f t="shared" si="7"/>
        <v>-2.0907081752407539E-3</v>
      </c>
      <c r="E83" s="67">
        <f>(SUM(C81:C83)-SUM(C78:C80))/SUM(C78:C80)</f>
        <v>7.5068449913925006E-4</v>
      </c>
      <c r="F83" s="67"/>
      <c r="G83" s="67"/>
      <c r="H83" s="105"/>
      <c r="I83" s="56"/>
    </row>
    <row r="84" spans="1:9" ht="15" hidden="1" customHeight="1" x14ac:dyDescent="0.2">
      <c r="A84" s="18">
        <f t="shared" si="8"/>
        <v>2011</v>
      </c>
      <c r="B84" s="19" t="s">
        <v>15</v>
      </c>
      <c r="C84" s="25">
        <f>Indeks!H85</f>
        <v>106.44532902460872</v>
      </c>
      <c r="D84" s="62">
        <f t="shared" si="7"/>
        <v>-1.3385582631298379E-3</v>
      </c>
      <c r="E84" s="113"/>
      <c r="F84" s="113"/>
      <c r="G84" s="113"/>
      <c r="H84" s="25"/>
      <c r="I84" s="56"/>
    </row>
    <row r="85" spans="1:9" ht="15" hidden="1" customHeight="1" x14ac:dyDescent="0.2">
      <c r="A85" s="11">
        <f t="shared" si="8"/>
        <v>2011</v>
      </c>
      <c r="B85" t="s">
        <v>16</v>
      </c>
      <c r="C85" s="58">
        <f>Indeks!H86</f>
        <v>106.1521008240374</v>
      </c>
      <c r="D85" s="62">
        <f t="shared" si="7"/>
        <v>-2.7547305575384155E-3</v>
      </c>
      <c r="E85" s="110"/>
      <c r="F85" s="110"/>
      <c r="G85" s="110"/>
      <c r="H85" s="58"/>
      <c r="I85" s="56"/>
    </row>
    <row r="86" spans="1:9" ht="15.75" hidden="1" customHeight="1" thickBot="1" x14ac:dyDescent="0.25">
      <c r="A86" s="31">
        <f t="shared" si="8"/>
        <v>2011</v>
      </c>
      <c r="B86" s="32" t="s">
        <v>17</v>
      </c>
      <c r="C86" s="101">
        <f>Indeks!H87</f>
        <v>106.81938876171512</v>
      </c>
      <c r="D86" s="65">
        <f t="shared" si="7"/>
        <v>6.28614914351851E-3</v>
      </c>
      <c r="E86" s="110">
        <f>(SUM(C84:C86)-SUM(C81:C83))/SUM(C81:C83)</f>
        <v>-2.4010725502848886E-3</v>
      </c>
      <c r="F86" s="110">
        <f>(SUM(C81:C86)-SUM(C75:C80))/SUM(C75:C80)</f>
        <v>4.7442747751046408E-3</v>
      </c>
      <c r="G86" s="110">
        <f>(SUM(C75:C86)-SUM(C63:C74))/SUM(C63:C74)</f>
        <v>2.0597752916834234E-2</v>
      </c>
      <c r="H86" s="101"/>
      <c r="I86" s="56"/>
    </row>
    <row r="87" spans="1:9" ht="12" hidden="1" customHeight="1" x14ac:dyDescent="0.2">
      <c r="A87" s="2">
        <v>2012</v>
      </c>
      <c r="B87" t="s">
        <v>7</v>
      </c>
      <c r="C87" s="58">
        <f>Indeks!H88</f>
        <v>106.61825212976041</v>
      </c>
      <c r="D87" s="110">
        <f t="shared" ref="D87:D110" si="9">(C87-C86)/C86</f>
        <v>-1.8829599596697905E-3</v>
      </c>
      <c r="E87" s="115"/>
      <c r="F87" s="115"/>
      <c r="G87" s="115"/>
      <c r="H87" s="58"/>
    </row>
    <row r="88" spans="1:9" ht="12.75" hidden="1" customHeight="1" x14ac:dyDescent="0.2">
      <c r="A88" s="11">
        <f>A87</f>
        <v>2012</v>
      </c>
      <c r="B88" t="s">
        <v>8</v>
      </c>
      <c r="C88" s="58">
        <f>Indeks!H89</f>
        <v>106.16204087118628</v>
      </c>
      <c r="D88" s="110">
        <f t="shared" si="9"/>
        <v>-4.2789226934511568E-3</v>
      </c>
      <c r="E88" s="110"/>
      <c r="F88" s="110"/>
      <c r="G88" s="110"/>
      <c r="H88" s="58"/>
    </row>
    <row r="89" spans="1:9" ht="12.75" hidden="1" customHeight="1" x14ac:dyDescent="0.2">
      <c r="A89" s="13">
        <f t="shared" ref="A89:A98" si="10">A88</f>
        <v>2012</v>
      </c>
      <c r="B89" s="14" t="s">
        <v>9</v>
      </c>
      <c r="C89" s="105">
        <f>Indeks!H90</f>
        <v>106.51960469876968</v>
      </c>
      <c r="D89" s="67">
        <f t="shared" si="9"/>
        <v>3.3680948920081712E-3</v>
      </c>
      <c r="E89" s="67">
        <f>(SUM(C87:C89)-SUM(C84:C86))/SUM(C84:C86)</f>
        <v>-3.6604494138265791E-4</v>
      </c>
      <c r="F89" s="67"/>
      <c r="G89" s="67"/>
      <c r="H89" s="105"/>
    </row>
    <row r="90" spans="1:9" ht="12.75" hidden="1" customHeight="1" x14ac:dyDescent="0.2">
      <c r="A90" s="18">
        <f t="shared" si="10"/>
        <v>2012</v>
      </c>
      <c r="B90" s="19" t="s">
        <v>10</v>
      </c>
      <c r="C90" s="25">
        <f>Indeks!H91</f>
        <v>107.26131661920911</v>
      </c>
      <c r="D90" s="113">
        <f t="shared" si="9"/>
        <v>6.9631493896071053E-3</v>
      </c>
      <c r="E90" s="113"/>
      <c r="F90" s="113"/>
      <c r="G90" s="113"/>
      <c r="H90" s="25"/>
    </row>
    <row r="91" spans="1:9" ht="12.75" hidden="1" customHeight="1" x14ac:dyDescent="0.2">
      <c r="A91" s="11">
        <f t="shared" si="10"/>
        <v>2012</v>
      </c>
      <c r="B91" t="s">
        <v>11</v>
      </c>
      <c r="C91" s="58">
        <f>Indeks!H92</f>
        <v>107.15822758445266</v>
      </c>
      <c r="D91" s="110">
        <f t="shared" si="9"/>
        <v>-9.6110170941150752E-4</v>
      </c>
      <c r="E91" s="110"/>
      <c r="F91" s="110"/>
      <c r="G91" s="110"/>
      <c r="H91" s="58"/>
    </row>
    <row r="92" spans="1:9" ht="12.75" hidden="1" customHeight="1" x14ac:dyDescent="0.2">
      <c r="A92" s="13">
        <f t="shared" si="10"/>
        <v>2012</v>
      </c>
      <c r="B92" s="14" t="s">
        <v>12</v>
      </c>
      <c r="C92" s="105">
        <f>Indeks!H93</f>
        <v>106.71459738289421</v>
      </c>
      <c r="D92" s="67">
        <f t="shared" si="9"/>
        <v>-4.1399546405227593E-3</v>
      </c>
      <c r="E92" s="67">
        <f>(SUM(C90:C92)-SUM(C87:C89))/SUM(C87:C89)</f>
        <v>5.744580252150926E-3</v>
      </c>
      <c r="F92" s="67">
        <f>(SUM(C87:C92)-SUM(C81:C86))/SUM(C81:C86)</f>
        <v>1.3002033114599503E-3</v>
      </c>
      <c r="G92" s="67"/>
      <c r="H92" s="105"/>
    </row>
    <row r="93" spans="1:9" ht="12.75" hidden="1" customHeight="1" x14ac:dyDescent="0.2">
      <c r="A93" s="18">
        <f t="shared" si="10"/>
        <v>2012</v>
      </c>
      <c r="B93" s="23" t="s">
        <v>30</v>
      </c>
      <c r="C93" s="25">
        <f>Indeks!H94</f>
        <v>106.61084915189747</v>
      </c>
      <c r="D93" s="113">
        <f t="shared" si="9"/>
        <v>-9.7220280581195647E-4</v>
      </c>
      <c r="E93" s="113"/>
      <c r="F93" s="113"/>
      <c r="G93" s="113"/>
      <c r="H93" s="25"/>
    </row>
    <row r="94" spans="1:9" ht="12.75" hidden="1" customHeight="1" x14ac:dyDescent="0.2">
      <c r="A94" s="11">
        <f t="shared" si="10"/>
        <v>2012</v>
      </c>
      <c r="B94" t="s">
        <v>13</v>
      </c>
      <c r="C94" s="58">
        <f>Indeks!H95</f>
        <v>106.88619651685872</v>
      </c>
      <c r="D94" s="110">
        <f t="shared" si="9"/>
        <v>2.582733062832453E-3</v>
      </c>
      <c r="E94" s="110"/>
      <c r="F94" s="110"/>
      <c r="G94" s="110"/>
      <c r="H94" s="58"/>
    </row>
    <row r="95" spans="1:9" ht="12.75" hidden="1" customHeight="1" x14ac:dyDescent="0.2">
      <c r="A95" s="13">
        <f t="shared" si="10"/>
        <v>2012</v>
      </c>
      <c r="B95" s="14" t="s">
        <v>14</v>
      </c>
      <c r="C95" s="105">
        <f>Indeks!H96</f>
        <v>106.71893615880025</v>
      </c>
      <c r="D95" s="67">
        <f t="shared" si="9"/>
        <v>-1.5648452607450517E-3</v>
      </c>
      <c r="E95" s="67">
        <f>(SUM(C93:C95)-SUM(C90:C92))/SUM(C90:C92)</f>
        <v>-2.8591159895468873E-3</v>
      </c>
      <c r="F95" s="67"/>
      <c r="G95" s="67"/>
      <c r="H95" s="105"/>
    </row>
    <row r="96" spans="1:9" ht="12.75" hidden="1" customHeight="1" x14ac:dyDescent="0.2">
      <c r="A96" s="18">
        <f t="shared" si="10"/>
        <v>2012</v>
      </c>
      <c r="B96" s="19" t="s">
        <v>15</v>
      </c>
      <c r="C96" s="25">
        <f>Indeks!H97</f>
        <v>106.97677592558749</v>
      </c>
      <c r="D96" s="110">
        <f t="shared" si="9"/>
        <v>2.4160638783314965E-3</v>
      </c>
      <c r="E96" s="113"/>
      <c r="F96" s="113"/>
      <c r="G96" s="113"/>
      <c r="H96" s="25"/>
    </row>
    <row r="97" spans="1:8" ht="12.75" hidden="1" customHeight="1" x14ac:dyDescent="0.2">
      <c r="A97" s="11">
        <f t="shared" si="10"/>
        <v>2012</v>
      </c>
      <c r="B97" t="s">
        <v>16</v>
      </c>
      <c r="C97" s="58">
        <f>Indeks!H98</f>
        <v>107.07635832355514</v>
      </c>
      <c r="D97" s="110">
        <f t="shared" si="9"/>
        <v>9.3087866133599476E-4</v>
      </c>
      <c r="E97" s="110"/>
      <c r="F97" s="110"/>
      <c r="G97" s="110"/>
      <c r="H97" s="58"/>
    </row>
    <row r="98" spans="1:8" ht="13.5" hidden="1" customHeight="1" thickBot="1" x14ac:dyDescent="0.25">
      <c r="A98" s="31">
        <f t="shared" si="10"/>
        <v>2012</v>
      </c>
      <c r="B98" s="32" t="s">
        <v>17</v>
      </c>
      <c r="C98" s="101">
        <f>Indeks!H99</f>
        <v>107.16665384653822</v>
      </c>
      <c r="D98" s="104">
        <f t="shared" si="9"/>
        <v>8.4328160199691931E-4</v>
      </c>
      <c r="E98" s="110">
        <f>(SUM(C96:C98)-SUM(C93:C95))/SUM(C93:C95)</f>
        <v>3.1347787902260543E-3</v>
      </c>
      <c r="F98" s="110">
        <f>(SUM(C93:C98)-SUM(C87:C92))/SUM(C87:C92)</f>
        <v>1.564143339540915E-3</v>
      </c>
      <c r="G98" s="110">
        <f>(SUM(C87:C98)-SUM(C75:C86))/SUM(C75:C86)</f>
        <v>4.4547456611169281E-3</v>
      </c>
      <c r="H98" s="101">
        <f>(C87+C88+C89+C90+C91+C92+C93+C94+C95+C96+C97+C98)/12</f>
        <v>106.82248410079247</v>
      </c>
    </row>
    <row r="99" spans="1:8" ht="12.75" hidden="1" customHeight="1" x14ac:dyDescent="0.2">
      <c r="A99" s="2">
        <v>2013</v>
      </c>
      <c r="B99" t="s">
        <v>7</v>
      </c>
      <c r="C99" s="58">
        <f>Indeks!H100</f>
        <v>107.80080972671118</v>
      </c>
      <c r="D99" s="110">
        <f t="shared" si="9"/>
        <v>5.9174739287937532E-3</v>
      </c>
      <c r="E99" s="115"/>
      <c r="F99" s="115"/>
      <c r="G99" s="115"/>
      <c r="H99" s="58"/>
    </row>
    <row r="100" spans="1:8" ht="12.75" hidden="1" customHeight="1" x14ac:dyDescent="0.2">
      <c r="A100" s="11">
        <f>A99</f>
        <v>2013</v>
      </c>
      <c r="B100" t="s">
        <v>8</v>
      </c>
      <c r="C100" s="58">
        <f>Indeks!H101</f>
        <v>107.59594962389001</v>
      </c>
      <c r="D100" s="110">
        <f t="shared" si="9"/>
        <v>-1.9003577370199593E-3</v>
      </c>
      <c r="E100" s="110"/>
      <c r="F100" s="110"/>
      <c r="G100" s="110"/>
      <c r="H100" s="58"/>
    </row>
    <row r="101" spans="1:8" ht="12.75" hidden="1" customHeight="1" x14ac:dyDescent="0.2">
      <c r="A101" s="13">
        <f t="shared" ref="A101:A110" si="11">A100</f>
        <v>2013</v>
      </c>
      <c r="B101" s="14" t="s">
        <v>9</v>
      </c>
      <c r="C101" s="105">
        <f>Indeks!H102</f>
        <v>108.18433893212745</v>
      </c>
      <c r="D101" s="67">
        <f t="shared" si="9"/>
        <v>5.468507971668069E-3</v>
      </c>
      <c r="E101" s="67">
        <f>(SUM(C99:C101)-SUM(C96:C98))/SUM(C96:C98)</f>
        <v>7.3510732357011778E-3</v>
      </c>
      <c r="F101" s="67"/>
      <c r="G101" s="67"/>
      <c r="H101" s="105"/>
    </row>
    <row r="102" spans="1:8" ht="12.75" hidden="1" customHeight="1" x14ac:dyDescent="0.2">
      <c r="A102" s="18">
        <f t="shared" si="11"/>
        <v>2013</v>
      </c>
      <c r="B102" s="19" t="s">
        <v>10</v>
      </c>
      <c r="C102" s="25">
        <f>Indeks!H103</f>
        <v>108.4802454205203</v>
      </c>
      <c r="D102" s="137">
        <f t="shared" si="9"/>
        <v>2.7352063275859592E-3</v>
      </c>
      <c r="E102" s="137"/>
      <c r="F102" s="137"/>
      <c r="G102" s="137"/>
      <c r="H102" s="25"/>
    </row>
    <row r="103" spans="1:8" ht="12.75" hidden="1" customHeight="1" x14ac:dyDescent="0.2">
      <c r="A103" s="11">
        <f t="shared" si="11"/>
        <v>2013</v>
      </c>
      <c r="B103" t="s">
        <v>11</v>
      </c>
      <c r="C103" s="58">
        <f>Indeks!H104</f>
        <v>108.35973229374838</v>
      </c>
      <c r="D103" s="110">
        <f t="shared" si="9"/>
        <v>-1.1109223278833844E-3</v>
      </c>
      <c r="E103" s="110"/>
      <c r="F103" s="110"/>
      <c r="G103" s="110"/>
      <c r="H103" s="58"/>
    </row>
    <row r="104" spans="1:8" ht="12.75" hidden="1" customHeight="1" x14ac:dyDescent="0.2">
      <c r="A104" s="13">
        <f t="shared" si="11"/>
        <v>2013</v>
      </c>
      <c r="B104" s="14" t="s">
        <v>12</v>
      </c>
      <c r="C104" s="105">
        <f>Indeks!H105</f>
        <v>107.8936188472324</v>
      </c>
      <c r="D104" s="67">
        <f t="shared" si="9"/>
        <v>-4.3015374498379761E-3</v>
      </c>
      <c r="E104" s="67">
        <f>(SUM(C102:C104)-SUM(C99:C101))/SUM(C99:C101)</f>
        <v>3.561698396132666E-3</v>
      </c>
      <c r="F104" s="67">
        <f>(SUM(C99:C104)-SUM(C93:C98))/SUM(C93:C98)</f>
        <v>1.0724261482666654E-2</v>
      </c>
      <c r="G104" s="67"/>
      <c r="H104" s="105"/>
    </row>
    <row r="105" spans="1:8" ht="12.75" hidden="1" customHeight="1" x14ac:dyDescent="0.2">
      <c r="A105" s="18">
        <f t="shared" si="11"/>
        <v>2013</v>
      </c>
      <c r="B105" s="23" t="s">
        <v>30</v>
      </c>
      <c r="C105" s="25">
        <f>Indeks!H106</f>
        <v>108.18658172763156</v>
      </c>
      <c r="D105" s="113">
        <f t="shared" si="9"/>
        <v>2.7152938563861501E-3</v>
      </c>
      <c r="E105" s="113"/>
      <c r="F105" s="113"/>
      <c r="G105" s="113"/>
      <c r="H105" s="25"/>
    </row>
    <row r="106" spans="1:8" ht="12.75" hidden="1" customHeight="1" x14ac:dyDescent="0.2">
      <c r="A106" s="11">
        <f t="shared" si="11"/>
        <v>2013</v>
      </c>
      <c r="B106" t="s">
        <v>13</v>
      </c>
      <c r="C106" s="58">
        <f>Indeks!H107</f>
        <v>108.45323912440963</v>
      </c>
      <c r="D106" s="110">
        <f t="shared" si="9"/>
        <v>2.4647917747267732E-3</v>
      </c>
      <c r="E106" s="110"/>
      <c r="F106" s="110"/>
      <c r="G106" s="110"/>
      <c r="H106" s="58"/>
    </row>
    <row r="107" spans="1:8" ht="12.75" hidden="1" customHeight="1" x14ac:dyDescent="0.2">
      <c r="A107" s="13">
        <f t="shared" si="11"/>
        <v>2013</v>
      </c>
      <c r="B107" s="14" t="s">
        <v>14</v>
      </c>
      <c r="C107" s="105">
        <f>Indeks!H108</f>
        <v>108.13582294382482</v>
      </c>
      <c r="D107" s="67">
        <f t="shared" si="9"/>
        <v>-2.9267561130257962E-3</v>
      </c>
      <c r="E107" s="67">
        <f>(SUM(C105:C107)-SUM(C102:C104))/SUM(C102:C104)</f>
        <v>1.294822427064953E-4</v>
      </c>
      <c r="F107" s="67"/>
      <c r="G107" s="67"/>
      <c r="H107" s="105"/>
    </row>
    <row r="108" spans="1:8" ht="12.75" hidden="1" customHeight="1" x14ac:dyDescent="0.2">
      <c r="A108" s="18">
        <f t="shared" si="11"/>
        <v>2013</v>
      </c>
      <c r="B108" s="19" t="s">
        <v>15</v>
      </c>
      <c r="C108" s="25">
        <f>Indeks!H109</f>
        <v>108.52413337439521</v>
      </c>
      <c r="D108" s="110">
        <f t="shared" si="9"/>
        <v>3.5909508985945164E-3</v>
      </c>
      <c r="E108" s="113"/>
      <c r="F108" s="113"/>
      <c r="G108" s="113"/>
      <c r="H108" s="25"/>
    </row>
    <row r="109" spans="1:8" ht="12.75" hidden="1" customHeight="1" x14ac:dyDescent="0.2">
      <c r="A109" s="11">
        <f t="shared" si="11"/>
        <v>2013</v>
      </c>
      <c r="B109" t="s">
        <v>16</v>
      </c>
      <c r="C109" s="58">
        <f>Indeks!H110</f>
        <v>108.42168085516558</v>
      </c>
      <c r="D109" s="110">
        <f t="shared" si="9"/>
        <v>-9.440528668050325E-4</v>
      </c>
      <c r="E109" s="110"/>
      <c r="F109" s="110"/>
      <c r="G109" s="110"/>
      <c r="H109" s="58"/>
    </row>
    <row r="110" spans="1:8" ht="13.5" hidden="1" customHeight="1" thickBot="1" x14ac:dyDescent="0.25">
      <c r="A110" s="31">
        <f t="shared" si="11"/>
        <v>2013</v>
      </c>
      <c r="B110" s="32" t="s">
        <v>17</v>
      </c>
      <c r="C110" s="101">
        <f>Indeks!H111</f>
        <v>108.76444601999802</v>
      </c>
      <c r="D110" s="104">
        <f t="shared" si="9"/>
        <v>3.1614079594497664E-3</v>
      </c>
      <c r="E110" s="110">
        <f>(SUM(C108:C110)-SUM(C105:C107))/SUM(C105:C107)</f>
        <v>2.8777295081900897E-3</v>
      </c>
      <c r="F110" s="110">
        <f>(SUM(C105:C110)-SUM(C99:C104))/SUM(C99:C104)</f>
        <v>3.3490050718606224E-3</v>
      </c>
      <c r="G110" s="110">
        <f>(SUM(C99:C110)-SUM(C87:C98))/SUM(C87:C98)</f>
        <v>1.3207885511076692E-2</v>
      </c>
      <c r="H110" s="101">
        <f>(C99+C100+C101+C102+C103+C104+C105+C106+C107+C108+C109+C110)/12</f>
        <v>108.23338324080454</v>
      </c>
    </row>
    <row r="111" spans="1:8" ht="12.75" hidden="1" customHeight="1" x14ac:dyDescent="0.2">
      <c r="A111" s="2">
        <v>2014</v>
      </c>
      <c r="B111" t="s">
        <v>7</v>
      </c>
      <c r="C111" s="58">
        <f>Indeks!H112</f>
        <v>108.51227140898338</v>
      </c>
      <c r="D111" s="110">
        <f t="shared" ref="D111:D122" si="12">(C111-C110)/C110</f>
        <v>-2.3185390101492535E-3</v>
      </c>
      <c r="E111" s="115"/>
      <c r="F111" s="115"/>
      <c r="G111" s="115"/>
      <c r="H111" s="58"/>
    </row>
    <row r="112" spans="1:8" ht="12.75" hidden="1" customHeight="1" x14ac:dyDescent="0.2">
      <c r="A112" s="11">
        <f>A111</f>
        <v>2014</v>
      </c>
      <c r="B112" t="s">
        <v>8</v>
      </c>
      <c r="C112" s="58">
        <f>Indeks!H113</f>
        <v>108.67774931758548</v>
      </c>
      <c r="D112" s="110">
        <f t="shared" si="12"/>
        <v>1.5249695398819201E-3</v>
      </c>
      <c r="E112" s="110"/>
      <c r="F112" s="110"/>
      <c r="G112" s="110"/>
      <c r="H112" s="58"/>
    </row>
    <row r="113" spans="1:8" ht="12.75" hidden="1" customHeight="1" x14ac:dyDescent="0.2">
      <c r="A113" s="13">
        <f t="shared" ref="A113:A122" si="13">A112</f>
        <v>2014</v>
      </c>
      <c r="B113" s="14" t="s">
        <v>9</v>
      </c>
      <c r="C113" s="105">
        <f>Indeks!H114</f>
        <v>108.8796042217093</v>
      </c>
      <c r="D113" s="67">
        <f t="shared" si="12"/>
        <v>1.8573710386101774E-3</v>
      </c>
      <c r="E113" s="67">
        <f>(SUM(C111:C113)-SUM(C108:C110))/SUM(C108:C110)</f>
        <v>1.1033263073873926E-3</v>
      </c>
      <c r="F113" s="67"/>
      <c r="G113" s="67"/>
      <c r="H113" s="105"/>
    </row>
    <row r="114" spans="1:8" ht="12.75" hidden="1" customHeight="1" x14ac:dyDescent="0.2">
      <c r="A114" s="18">
        <f t="shared" si="13"/>
        <v>2014</v>
      </c>
      <c r="B114" s="19" t="s">
        <v>10</v>
      </c>
      <c r="C114" s="25">
        <f>Indeks!H115</f>
        <v>109.19851866878263</v>
      </c>
      <c r="D114" s="110">
        <f t="shared" si="12"/>
        <v>2.929055899431141E-3</v>
      </c>
      <c r="E114" s="113"/>
      <c r="F114" s="113"/>
      <c r="G114" s="113"/>
      <c r="H114" s="25"/>
    </row>
    <row r="115" spans="1:8" ht="12.75" hidden="1" customHeight="1" x14ac:dyDescent="0.2">
      <c r="A115" s="11">
        <f t="shared" si="13"/>
        <v>2014</v>
      </c>
      <c r="B115" t="s">
        <v>11</v>
      </c>
      <c r="C115" s="58">
        <f>Indeks!H116</f>
        <v>109.13138973581999</v>
      </c>
      <c r="D115" s="110">
        <f t="shared" si="12"/>
        <v>-6.1474215750348382E-4</v>
      </c>
      <c r="E115" s="110"/>
      <c r="F115" s="110"/>
      <c r="G115" s="110"/>
      <c r="H115" s="58"/>
    </row>
    <row r="116" spans="1:8" ht="12.75" hidden="1" customHeight="1" x14ac:dyDescent="0.2">
      <c r="A116" s="13">
        <f t="shared" si="13"/>
        <v>2014</v>
      </c>
      <c r="B116" s="14" t="s">
        <v>12</v>
      </c>
      <c r="C116" s="105">
        <f>Indeks!H117</f>
        <v>108.96203325160126</v>
      </c>
      <c r="D116" s="67">
        <f t="shared" si="12"/>
        <v>-1.5518585865048407E-3</v>
      </c>
      <c r="E116" s="67">
        <f>(SUM(C114:C116)-SUM(C111:C113))/SUM(C111:C113)</f>
        <v>3.7486371449644931E-3</v>
      </c>
      <c r="F116" s="67">
        <f>(SUM(C111:C116)-SUM(C105:C110))/SUM(C105:C110)</f>
        <v>4.4207915055087879E-3</v>
      </c>
      <c r="G116" s="67"/>
      <c r="H116" s="105"/>
    </row>
    <row r="117" spans="1:8" ht="12.75" hidden="1" customHeight="1" x14ac:dyDescent="0.2">
      <c r="A117" s="18">
        <f t="shared" si="13"/>
        <v>2014</v>
      </c>
      <c r="B117" s="23" t="s">
        <v>30</v>
      </c>
      <c r="C117" s="25">
        <f>Indeks!H118</f>
        <v>109.0325054358955</v>
      </c>
      <c r="D117" s="113">
        <f t="shared" si="12"/>
        <v>6.4675907920624769E-4</v>
      </c>
      <c r="E117" s="113"/>
      <c r="F117" s="113"/>
      <c r="G117" s="113"/>
      <c r="H117" s="25"/>
    </row>
    <row r="118" spans="1:8" ht="12.75" hidden="1" customHeight="1" x14ac:dyDescent="0.2">
      <c r="A118" s="11">
        <f t="shared" si="13"/>
        <v>2014</v>
      </c>
      <c r="B118" t="s">
        <v>13</v>
      </c>
      <c r="C118" s="58">
        <f>Indeks!H119</f>
        <v>109.02033683686643</v>
      </c>
      <c r="D118" s="110">
        <f t="shared" si="12"/>
        <v>-1.1160524084463594E-4</v>
      </c>
      <c r="E118" s="110"/>
      <c r="F118" s="110"/>
      <c r="G118" s="110"/>
      <c r="H118" s="58"/>
    </row>
    <row r="119" spans="1:8" ht="12.75" hidden="1" customHeight="1" x14ac:dyDescent="0.2">
      <c r="A119" s="13">
        <f t="shared" si="13"/>
        <v>2014</v>
      </c>
      <c r="B119" s="14" t="s">
        <v>14</v>
      </c>
      <c r="C119" s="105">
        <f>Indeks!H120</f>
        <v>108.89373261451398</v>
      </c>
      <c r="D119" s="67">
        <f t="shared" si="12"/>
        <v>-1.161289957688357E-3</v>
      </c>
      <c r="E119" s="67">
        <f>(SUM(C117:C119)-SUM(C114:C116))/SUM(C114:C116)</f>
        <v>-1.0552253965689464E-3</v>
      </c>
      <c r="F119" s="67"/>
      <c r="G119" s="67"/>
      <c r="H119" s="105"/>
    </row>
    <row r="120" spans="1:8" ht="12.75" hidden="1" customHeight="1" x14ac:dyDescent="0.2">
      <c r="A120" s="18">
        <f t="shared" si="13"/>
        <v>2014</v>
      </c>
      <c r="B120" s="19" t="s">
        <v>15</v>
      </c>
      <c r="C120" s="25">
        <f>Indeks!H121</f>
        <v>109.0769853487031</v>
      </c>
      <c r="D120" s="110">
        <f t="shared" si="12"/>
        <v>1.6828584142472498E-3</v>
      </c>
      <c r="E120" s="113"/>
      <c r="F120" s="113"/>
      <c r="G120" s="113"/>
      <c r="H120" s="25"/>
    </row>
    <row r="121" spans="1:8" ht="12.75" hidden="1" customHeight="1" x14ac:dyDescent="0.2">
      <c r="A121" s="11">
        <f t="shared" si="13"/>
        <v>2014</v>
      </c>
      <c r="B121" t="s">
        <v>16</v>
      </c>
      <c r="C121" s="58">
        <f>Indeks!H122</f>
        <v>109.06917396229248</v>
      </c>
      <c r="D121" s="110">
        <f t="shared" si="12"/>
        <v>-7.161351577192008E-5</v>
      </c>
      <c r="E121" s="110"/>
      <c r="F121" s="110"/>
      <c r="G121" s="110"/>
      <c r="H121" s="58"/>
    </row>
    <row r="122" spans="1:8" ht="13.5" hidden="1" customHeight="1" thickBot="1" x14ac:dyDescent="0.25">
      <c r="A122" s="31">
        <f t="shared" si="13"/>
        <v>2014</v>
      </c>
      <c r="B122" s="32" t="s">
        <v>17</v>
      </c>
      <c r="C122" s="101">
        <f>Indeks!H123</f>
        <v>109.38947186692181</v>
      </c>
      <c r="D122" s="104">
        <f t="shared" si="12"/>
        <v>2.9366492198800525E-3</v>
      </c>
      <c r="E122" s="104">
        <f>(SUM(C120:C122)-SUM(C117:C119))/SUM(C117:C119)</f>
        <v>1.8016897434834588E-3</v>
      </c>
      <c r="F122" s="104">
        <f>(SUM(C117:C122)-SUM(C111:C116))/SUM(C111:C116)</f>
        <v>1.7151903601174327E-3</v>
      </c>
      <c r="G122" s="104">
        <f>(SUM(C111:C122)-SUM(C99:C110))/SUM(C99:C110)</f>
        <v>6.9627114337273126E-3</v>
      </c>
      <c r="H122" s="101">
        <f>(C111+C112+C113+C114+C115+C116+C117+C118+C119+C120+C121+C122)/12</f>
        <v>108.98698105580628</v>
      </c>
    </row>
    <row r="123" spans="1:8" ht="12.75" hidden="1" customHeight="1" x14ac:dyDescent="0.2">
      <c r="A123" s="49">
        <v>2015</v>
      </c>
      <c r="B123" s="50" t="s">
        <v>7</v>
      </c>
      <c r="C123" s="106">
        <f>Indeks!H124</f>
        <v>109.59904938976963</v>
      </c>
      <c r="D123" s="115">
        <f t="shared" ref="D123:D134" si="14">(C123-C122)/C122</f>
        <v>1.9158838530894959E-3</v>
      </c>
      <c r="E123" s="115"/>
      <c r="F123" s="115"/>
      <c r="G123" s="115"/>
      <c r="H123" s="106"/>
    </row>
    <row r="124" spans="1:8" ht="12.75" hidden="1" customHeight="1" x14ac:dyDescent="0.2">
      <c r="A124" s="11">
        <f t="shared" ref="A124:A134" si="15">A123</f>
        <v>2015</v>
      </c>
      <c r="B124" t="s">
        <v>8</v>
      </c>
      <c r="C124" s="58">
        <f>Indeks!H125</f>
        <v>109.51238738364498</v>
      </c>
      <c r="D124" s="110">
        <f t="shared" si="14"/>
        <v>-7.9071859297298217E-4</v>
      </c>
      <c r="E124" s="110"/>
      <c r="F124" s="58"/>
      <c r="G124" s="110"/>
      <c r="H124" s="58"/>
    </row>
    <row r="125" spans="1:8" ht="12.75" hidden="1" customHeight="1" x14ac:dyDescent="0.2">
      <c r="A125" s="13">
        <f t="shared" si="15"/>
        <v>2015</v>
      </c>
      <c r="B125" s="14" t="s">
        <v>9</v>
      </c>
      <c r="C125" s="105">
        <f>Indeks!H126</f>
        <v>108.94236440342927</v>
      </c>
      <c r="D125" s="67">
        <f t="shared" si="14"/>
        <v>-5.2051004807227921E-3</v>
      </c>
      <c r="E125" s="67">
        <f>(SUM(C123:C125)-SUM(C120:C122))/SUM(C120:C122)</f>
        <v>1.5820263495089481E-3</v>
      </c>
      <c r="F125" s="67"/>
      <c r="G125" s="67"/>
      <c r="H125" s="105"/>
    </row>
    <row r="126" spans="1:8" ht="12.75" hidden="1" customHeight="1" x14ac:dyDescent="0.2">
      <c r="A126" s="11">
        <f t="shared" si="15"/>
        <v>2015</v>
      </c>
      <c r="B126" t="s">
        <v>10</v>
      </c>
      <c r="C126" s="58">
        <f>Indeks!H127</f>
        <v>109.29161851613725</v>
      </c>
      <c r="D126" s="110">
        <f t="shared" si="14"/>
        <v>3.2058613251190649E-3</v>
      </c>
      <c r="E126" s="110"/>
      <c r="F126" s="110"/>
      <c r="G126" s="110"/>
      <c r="H126" s="58"/>
    </row>
    <row r="127" spans="1:8" ht="12.75" hidden="1" customHeight="1" x14ac:dyDescent="0.2">
      <c r="A127" s="11">
        <f t="shared" si="15"/>
        <v>2015</v>
      </c>
      <c r="B127" t="s">
        <v>11</v>
      </c>
      <c r="C127" s="58">
        <f>Indeks!H128</f>
        <v>109.40716185184058</v>
      </c>
      <c r="D127" s="110">
        <f t="shared" si="14"/>
        <v>1.0572021649242539E-3</v>
      </c>
      <c r="E127" s="110"/>
      <c r="F127" s="110"/>
      <c r="G127" s="110"/>
      <c r="H127" s="58"/>
    </row>
    <row r="128" spans="1:8" ht="12.75" hidden="1" customHeight="1" x14ac:dyDescent="0.2">
      <c r="A128" s="13">
        <f t="shared" si="15"/>
        <v>2015</v>
      </c>
      <c r="B128" s="14" t="s">
        <v>12</v>
      </c>
      <c r="C128" s="105">
        <f>Indeks!H129</f>
        <v>109.2901220268751</v>
      </c>
      <c r="D128" s="67">
        <f t="shared" si="14"/>
        <v>-1.0697638343272592E-3</v>
      </c>
      <c r="E128" s="67">
        <f>(SUM(C126:C128)-SUM(C123:C125))/SUM(C123:C125)</f>
        <v>-1.978296906121723E-4</v>
      </c>
      <c r="F128" s="67">
        <f>(SUM(C123:C128)-SUM(C117:C122))/SUM(C117:C122)</f>
        <v>2.3843238090236543E-3</v>
      </c>
      <c r="G128" s="67"/>
      <c r="H128" s="105"/>
    </row>
    <row r="129" spans="1:8" ht="12.75" hidden="1" customHeight="1" x14ac:dyDescent="0.2">
      <c r="A129" s="18">
        <f t="shared" si="15"/>
        <v>2015</v>
      </c>
      <c r="B129" s="23" t="s">
        <v>30</v>
      </c>
      <c r="C129" s="25">
        <f>Indeks!H130</f>
        <v>109.82262248994537</v>
      </c>
      <c r="D129" s="113">
        <f t="shared" si="14"/>
        <v>4.87235674363446E-3</v>
      </c>
      <c r="E129" s="113"/>
      <c r="F129" s="113"/>
      <c r="G129" s="113"/>
      <c r="H129" s="25"/>
    </row>
    <row r="130" spans="1:8" ht="12.75" hidden="1" customHeight="1" x14ac:dyDescent="0.2">
      <c r="A130" s="11">
        <f t="shared" si="15"/>
        <v>2015</v>
      </c>
      <c r="B130" t="s">
        <v>13</v>
      </c>
      <c r="C130" s="58">
        <f>Indeks!H131</f>
        <v>110.01577455481555</v>
      </c>
      <c r="D130" s="110">
        <f t="shared" si="14"/>
        <v>1.7587639093927124E-3</v>
      </c>
      <c r="E130" s="110"/>
      <c r="F130" s="110"/>
      <c r="G130" s="110"/>
      <c r="H130" s="58"/>
    </row>
    <row r="131" spans="1:8" ht="12.75" hidden="1" customHeight="1" x14ac:dyDescent="0.2">
      <c r="A131" s="13">
        <f t="shared" si="15"/>
        <v>2015</v>
      </c>
      <c r="B131" s="14" t="s">
        <v>14</v>
      </c>
      <c r="C131" s="105">
        <f>Indeks!H132</f>
        <v>109.85641676653549</v>
      </c>
      <c r="D131" s="67">
        <f t="shared" si="14"/>
        <v>-1.4484994440561916E-3</v>
      </c>
      <c r="E131" s="67">
        <f>(SUM(C129:C131)-SUM(C126:C128))/SUM(C126:C128)</f>
        <v>5.2011254160965635E-3</v>
      </c>
      <c r="F131" s="67"/>
      <c r="G131" s="67"/>
      <c r="H131" s="105"/>
    </row>
    <row r="132" spans="1:8" ht="12.75" hidden="1" customHeight="1" x14ac:dyDescent="0.2">
      <c r="A132" s="11">
        <f t="shared" si="15"/>
        <v>2015</v>
      </c>
      <c r="B132" t="s">
        <v>15</v>
      </c>
      <c r="C132" s="58">
        <f>Indeks!H133</f>
        <v>110.14601895689017</v>
      </c>
      <c r="D132" s="110">
        <f t="shared" si="14"/>
        <v>2.6361882071043847E-3</v>
      </c>
      <c r="E132" s="110"/>
      <c r="F132" s="110"/>
      <c r="G132" s="110"/>
      <c r="H132" s="58"/>
    </row>
    <row r="133" spans="1:8" ht="12.75" hidden="1" customHeight="1" x14ac:dyDescent="0.2">
      <c r="A133" s="11">
        <f t="shared" si="15"/>
        <v>2015</v>
      </c>
      <c r="B133" t="s">
        <v>16</v>
      </c>
      <c r="C133" s="58">
        <f>Indeks!H134</f>
        <v>110.24277084232131</v>
      </c>
      <c r="D133" s="110">
        <f t="shared" si="14"/>
        <v>8.7839657163641793E-4</v>
      </c>
      <c r="E133" s="110"/>
      <c r="F133" s="110"/>
      <c r="G133" s="110"/>
      <c r="H133" s="58"/>
    </row>
    <row r="134" spans="1:8" ht="13.5" hidden="1" customHeight="1" thickBot="1" x14ac:dyDescent="0.25">
      <c r="A134" s="31">
        <f t="shared" si="15"/>
        <v>2015</v>
      </c>
      <c r="B134" s="32" t="s">
        <v>17</v>
      </c>
      <c r="C134" s="101">
        <f>Indeks!H135</f>
        <v>110.56610946532157</v>
      </c>
      <c r="D134" s="104">
        <f t="shared" si="14"/>
        <v>2.9329689423602629E-3</v>
      </c>
      <c r="E134" s="104">
        <f>(SUM(C132:C134)-SUM(C129:C131))/SUM(C129:C131)</f>
        <v>3.821975355541699E-3</v>
      </c>
      <c r="F134" s="104">
        <f>(SUM(C129:C134)-SUM(C123:C128))/SUM(C123:C128)</f>
        <v>7.022423203627854E-3</v>
      </c>
      <c r="G134" s="104">
        <f>(SUM(C123:C134)-SUM(C111:C122))/SUM(C111:C122)</f>
        <v>6.7658264410193555E-3</v>
      </c>
      <c r="H134" s="101">
        <f>(C123+C124+C125+C126+C127+C128+C129+C130+C131+C132+C133+C134)/12</f>
        <v>109.72436805396053</v>
      </c>
    </row>
    <row r="135" spans="1:8" ht="12.75" hidden="1" customHeight="1" x14ac:dyDescent="0.2">
      <c r="A135" s="2">
        <v>2016</v>
      </c>
      <c r="B135" t="s">
        <v>7</v>
      </c>
      <c r="C135" s="106">
        <f>Indeks!H136</f>
        <v>110.66644440888616</v>
      </c>
      <c r="D135" s="115">
        <f t="shared" ref="D135:D146" si="16">(C135-C134)/C134</f>
        <v>9.0746562441052197E-4</v>
      </c>
      <c r="E135" s="115"/>
      <c r="F135" s="115"/>
      <c r="G135" s="115"/>
      <c r="H135" s="106"/>
    </row>
    <row r="136" spans="1:8" ht="12.75" hidden="1" customHeight="1" x14ac:dyDescent="0.2">
      <c r="A136" s="11">
        <f>A135</f>
        <v>2016</v>
      </c>
      <c r="B136" t="s">
        <v>8</v>
      </c>
      <c r="C136" s="58">
        <f>Indeks!H137</f>
        <v>110.75835216968831</v>
      </c>
      <c r="D136" s="110">
        <f t="shared" si="16"/>
        <v>8.3049348240164485E-4</v>
      </c>
      <c r="E136" s="110"/>
      <c r="F136" s="110"/>
      <c r="G136" s="110"/>
      <c r="H136" s="58"/>
    </row>
    <row r="137" spans="1:8" ht="12.75" hidden="1" customHeight="1" x14ac:dyDescent="0.2">
      <c r="A137" s="13">
        <f t="shared" ref="A137:A146" si="17">A136</f>
        <v>2016</v>
      </c>
      <c r="B137" s="14" t="s">
        <v>9</v>
      </c>
      <c r="C137" s="105">
        <f>Indeks!H138</f>
        <v>110.73068810137443</v>
      </c>
      <c r="D137" s="67">
        <f t="shared" si="16"/>
        <v>-2.4976959093341564E-4</v>
      </c>
      <c r="E137" s="67">
        <f>(SUM(C135:C137)-SUM(C132:C134))/SUM(C132:C134)</f>
        <v>3.6276405579245201E-3</v>
      </c>
      <c r="F137" s="67"/>
      <c r="G137" s="67"/>
      <c r="H137" s="105"/>
    </row>
    <row r="138" spans="1:8" ht="12.75" hidden="1" customHeight="1" x14ac:dyDescent="0.2">
      <c r="A138" s="11">
        <f t="shared" si="17"/>
        <v>2016</v>
      </c>
      <c r="B138" t="s">
        <v>10</v>
      </c>
      <c r="C138" s="58">
        <f>Indeks!H139</f>
        <v>110.98571874452267</v>
      </c>
      <c r="D138" s="110">
        <f t="shared" si="16"/>
        <v>2.3031613685518125E-3</v>
      </c>
      <c r="E138" s="110"/>
      <c r="F138" s="110"/>
      <c r="G138" s="110"/>
      <c r="H138" s="58"/>
    </row>
    <row r="139" spans="1:8" ht="12.75" hidden="1" customHeight="1" x14ac:dyDescent="0.2">
      <c r="A139" s="11">
        <f t="shared" si="17"/>
        <v>2016</v>
      </c>
      <c r="B139" t="s">
        <v>11</v>
      </c>
      <c r="C139" s="58">
        <f>Indeks!H140</f>
        <v>110.66322199245018</v>
      </c>
      <c r="D139" s="110">
        <f t="shared" si="16"/>
        <v>-2.9057499984736701E-3</v>
      </c>
      <c r="E139" s="110"/>
      <c r="F139" s="110"/>
      <c r="G139" s="110"/>
      <c r="H139" s="58"/>
    </row>
    <row r="140" spans="1:8" ht="12.75" hidden="1" customHeight="1" x14ac:dyDescent="0.2">
      <c r="A140" s="13">
        <f t="shared" si="17"/>
        <v>2016</v>
      </c>
      <c r="B140" s="14" t="s">
        <v>12</v>
      </c>
      <c r="C140" s="105">
        <f>Indeks!H141</f>
        <v>110.68308035391304</v>
      </c>
      <c r="D140" s="67">
        <f t="shared" si="16"/>
        <v>1.7944861088737161E-4</v>
      </c>
      <c r="E140" s="67">
        <f>(SUM(C138:C140)-SUM(C135:C137))/SUM(C135:C137)</f>
        <v>5.3148726749790954E-4</v>
      </c>
      <c r="F140" s="67">
        <f>(SUM(C135:C140)-SUM(C129:C134))/SUM(C129:C134)</f>
        <v>5.8091188402057212E-3</v>
      </c>
      <c r="G140" s="67"/>
      <c r="H140" s="105"/>
    </row>
    <row r="141" spans="1:8" ht="12.75" hidden="1" customHeight="1" x14ac:dyDescent="0.2">
      <c r="A141" s="18">
        <f t="shared" si="17"/>
        <v>2016</v>
      </c>
      <c r="B141" s="23" t="s">
        <v>30</v>
      </c>
      <c r="C141" s="25">
        <f>Indeks!H142</f>
        <v>111.07770924233284</v>
      </c>
      <c r="D141" s="113">
        <f t="shared" si="16"/>
        <v>3.565394883824726E-3</v>
      </c>
      <c r="E141" s="113"/>
      <c r="F141" s="113"/>
      <c r="G141" s="113"/>
      <c r="H141" s="25"/>
    </row>
    <row r="142" spans="1:8" ht="12.75" hidden="1" customHeight="1" x14ac:dyDescent="0.2">
      <c r="A142" s="11">
        <f t="shared" si="17"/>
        <v>2016</v>
      </c>
      <c r="B142" t="s">
        <v>13</v>
      </c>
      <c r="C142" s="58">
        <f>Indeks!H143</f>
        <v>110.84520866498787</v>
      </c>
      <c r="D142" s="110">
        <f t="shared" si="16"/>
        <v>-2.0931344275181589E-3</v>
      </c>
      <c r="E142" s="110"/>
      <c r="F142" s="110"/>
      <c r="G142" s="110"/>
      <c r="H142" s="58"/>
    </row>
    <row r="143" spans="1:8" ht="12.75" hidden="1" customHeight="1" x14ac:dyDescent="0.2">
      <c r="A143" s="13">
        <f t="shared" si="17"/>
        <v>2016</v>
      </c>
      <c r="B143" s="14" t="s">
        <v>14</v>
      </c>
      <c r="C143" s="105">
        <f>Indeks!H144</f>
        <v>110.71031976847807</v>
      </c>
      <c r="D143" s="67">
        <f t="shared" si="16"/>
        <v>-1.2169122881754242E-3</v>
      </c>
      <c r="E143" s="67">
        <f>(SUM(C141:C143)-SUM(C138:C140))/SUM(C138:C140)</f>
        <v>9.0637244020040631E-4</v>
      </c>
      <c r="F143" s="67"/>
      <c r="G143" s="67"/>
      <c r="H143" s="105"/>
    </row>
    <row r="144" spans="1:8" ht="12.75" hidden="1" customHeight="1" x14ac:dyDescent="0.2">
      <c r="A144" s="11">
        <f t="shared" si="17"/>
        <v>2016</v>
      </c>
      <c r="B144" t="s">
        <v>15</v>
      </c>
      <c r="C144" s="58">
        <f>Indeks!H145</f>
        <v>111.00596414712146</v>
      </c>
      <c r="D144" s="110">
        <f t="shared" si="16"/>
        <v>2.670431981965652E-3</v>
      </c>
      <c r="E144" s="110"/>
      <c r="F144" s="110"/>
      <c r="G144" s="110"/>
      <c r="H144" s="58"/>
    </row>
    <row r="145" spans="1:8" ht="12.75" hidden="1" customHeight="1" x14ac:dyDescent="0.2">
      <c r="A145" s="11">
        <f t="shared" si="17"/>
        <v>2016</v>
      </c>
      <c r="B145" t="s">
        <v>16</v>
      </c>
      <c r="C145" s="58">
        <f>Indeks!H146</f>
        <v>110.95639473835908</v>
      </c>
      <c r="D145" s="110">
        <f t="shared" si="16"/>
        <v>-4.4654725665626107E-4</v>
      </c>
      <c r="E145" s="110"/>
      <c r="F145" s="110"/>
      <c r="G145" s="110"/>
      <c r="H145" s="58"/>
    </row>
    <row r="146" spans="1:8" ht="13.5" hidden="1" customHeight="1" thickBot="1" x14ac:dyDescent="0.25">
      <c r="A146" s="31">
        <f t="shared" si="17"/>
        <v>2016</v>
      </c>
      <c r="B146" s="32" t="s">
        <v>17</v>
      </c>
      <c r="C146" s="101">
        <f>Indeks!H147</f>
        <v>111.53140414799262</v>
      </c>
      <c r="D146" s="104">
        <f t="shared" si="16"/>
        <v>5.1823007676974307E-3</v>
      </c>
      <c r="E146" s="104">
        <f>(SUM(C144:C146)-SUM(C141:C143))/SUM(C141:C143)</f>
        <v>2.58700953544839E-3</v>
      </c>
      <c r="F146" s="104">
        <f>(SUM(C141:C146)-SUM(C135:C140))/SUM(C135:C140)</f>
        <v>2.4673073973531284E-3</v>
      </c>
      <c r="G146" s="104">
        <f>(SUM(C135:C146)-SUM(C123:C134))/SUM(C123:C134)</f>
        <v>1.0573532327335416E-2</v>
      </c>
      <c r="H146" s="101">
        <f>(C135+C136+C137+C138+C139+C140+C141+C142+C143+C144+C145+C146)/12</f>
        <v>110.88454220667553</v>
      </c>
    </row>
    <row r="147" spans="1:8" ht="13.5" hidden="1" thickBot="1" x14ac:dyDescent="0.25">
      <c r="A147" s="2">
        <v>2017</v>
      </c>
      <c r="B147" t="s">
        <v>7</v>
      </c>
      <c r="C147" s="106">
        <f>Indeks!H148</f>
        <v>111.97527692655622</v>
      </c>
      <c r="D147" s="115">
        <f t="shared" ref="D147:D158" si="18">(C147-C146)/C146</f>
        <v>3.979800863751529E-3</v>
      </c>
      <c r="E147" s="115"/>
      <c r="F147" s="115"/>
      <c r="G147" s="115"/>
      <c r="H147" s="106"/>
    </row>
    <row r="148" spans="1:8" ht="13.5" hidden="1" thickBot="1" x14ac:dyDescent="0.25">
      <c r="A148" s="11">
        <f>A147</f>
        <v>2017</v>
      </c>
      <c r="B148" t="s">
        <v>8</v>
      </c>
      <c r="C148" s="58">
        <f>Indeks!H149</f>
        <v>111.89204166846963</v>
      </c>
      <c r="D148" s="110">
        <f t="shared" si="18"/>
        <v>-7.4333603248136746E-4</v>
      </c>
      <c r="E148" s="110"/>
      <c r="F148" s="110"/>
      <c r="G148" s="110"/>
      <c r="H148" s="58"/>
    </row>
    <row r="149" spans="1:8" ht="13.5" hidden="1" thickBot="1" x14ac:dyDescent="0.25">
      <c r="A149" s="13">
        <f t="shared" ref="A149:A158" si="19">A148</f>
        <v>2017</v>
      </c>
      <c r="B149" s="14" t="s">
        <v>9</v>
      </c>
      <c r="C149" s="105">
        <f>Indeks!H150</f>
        <v>111.77145303018723</v>
      </c>
      <c r="D149" s="67">
        <f t="shared" si="18"/>
        <v>-1.0777231024141735E-3</v>
      </c>
      <c r="E149" s="67">
        <f>(SUM(C147:C149)-SUM(C144:C146))/SUM(C144:C146)</f>
        <v>6.4319301573402985E-3</v>
      </c>
      <c r="F149" s="67"/>
      <c r="G149" s="67"/>
      <c r="H149" s="105"/>
    </row>
    <row r="150" spans="1:8" ht="13.5" hidden="1" thickBot="1" x14ac:dyDescent="0.25">
      <c r="A150" s="11">
        <f t="shared" si="19"/>
        <v>2017</v>
      </c>
      <c r="B150" t="s">
        <v>10</v>
      </c>
      <c r="C150" s="58">
        <f>Indeks!H151</f>
        <v>112.15457378426842</v>
      </c>
      <c r="D150" s="110">
        <f t="shared" si="18"/>
        <v>3.427715608006966E-3</v>
      </c>
      <c r="E150" s="110"/>
      <c r="F150" s="110"/>
      <c r="G150" s="110"/>
      <c r="H150" s="58"/>
    </row>
    <row r="151" spans="1:8" ht="13.5" hidden="1" thickBot="1" x14ac:dyDescent="0.25">
      <c r="A151" s="11">
        <f t="shared" si="19"/>
        <v>2017</v>
      </c>
      <c r="B151" t="s">
        <v>11</v>
      </c>
      <c r="C151" s="58">
        <f>Indeks!H152</f>
        <v>112.04281644058202</v>
      </c>
      <c r="D151" s="110">
        <f t="shared" si="18"/>
        <v>-9.9645819083021814E-4</v>
      </c>
      <c r="E151" s="110"/>
      <c r="F151" s="110"/>
      <c r="G151" s="110"/>
      <c r="H151" s="58"/>
    </row>
    <row r="152" spans="1:8" ht="13.5" hidden="1" thickBot="1" x14ac:dyDescent="0.25">
      <c r="A152" s="13">
        <f t="shared" si="19"/>
        <v>2017</v>
      </c>
      <c r="B152" s="14" t="s">
        <v>12</v>
      </c>
      <c r="C152" s="105">
        <f>Indeks!H153</f>
        <v>111.73341713333141</v>
      </c>
      <c r="D152" s="67">
        <f t="shared" si="18"/>
        <v>-2.7614381455207354E-3</v>
      </c>
      <c r="E152" s="67">
        <f>(SUM(C150:C152)-SUM(C147:C149))/SUM(C147:C149)</f>
        <v>8.7008938673768159E-4</v>
      </c>
      <c r="F152" s="67">
        <f>(SUM(C147:C152)-SUM(C141:C146))/SUM(C141:C146)</f>
        <v>8.1704814071909514E-3</v>
      </c>
      <c r="G152" s="67"/>
      <c r="H152" s="105"/>
    </row>
    <row r="153" spans="1:8" ht="13.5" hidden="1" thickBot="1" x14ac:dyDescent="0.25">
      <c r="A153" s="18">
        <f t="shared" si="19"/>
        <v>2017</v>
      </c>
      <c r="B153" s="23" t="s">
        <v>30</v>
      </c>
      <c r="C153" s="25">
        <f>Indeks!H154</f>
        <v>111.73177200577281</v>
      </c>
      <c r="D153" s="113">
        <f t="shared" si="18"/>
        <v>-1.4723684290801262E-5</v>
      </c>
      <c r="E153" s="113"/>
      <c r="F153" s="113"/>
      <c r="G153" s="113"/>
      <c r="H153" s="25"/>
    </row>
    <row r="154" spans="1:8" ht="13.5" hidden="1" thickBot="1" x14ac:dyDescent="0.25">
      <c r="A154" s="11">
        <f t="shared" si="19"/>
        <v>2017</v>
      </c>
      <c r="B154" t="s">
        <v>13</v>
      </c>
      <c r="C154" s="58">
        <f>Indeks!H155</f>
        <v>111.60918827743365</v>
      </c>
      <c r="D154" s="110">
        <f t="shared" si="18"/>
        <v>-1.0971250713971675E-3</v>
      </c>
      <c r="E154" s="110"/>
      <c r="F154" s="110"/>
      <c r="G154" s="110"/>
      <c r="H154" s="58"/>
    </row>
    <row r="155" spans="1:8" ht="13.5" hidden="1" thickBot="1" x14ac:dyDescent="0.25">
      <c r="A155" s="13">
        <f t="shared" si="19"/>
        <v>2017</v>
      </c>
      <c r="B155" s="14" t="s">
        <v>14</v>
      </c>
      <c r="C155" s="105">
        <f>Indeks!H156</f>
        <v>111.69628909000294</v>
      </c>
      <c r="D155" s="67">
        <f t="shared" si="18"/>
        <v>7.8040897809217888E-4</v>
      </c>
      <c r="E155" s="67">
        <f>(SUM(C153:C155)-SUM(C150:C152))/SUM(C150:C152)</f>
        <v>-2.6599465288685447E-3</v>
      </c>
      <c r="F155" s="67"/>
      <c r="G155" s="67"/>
      <c r="H155" s="105"/>
    </row>
    <row r="156" spans="1:8" ht="13.5" hidden="1" thickBot="1" x14ac:dyDescent="0.25">
      <c r="A156" s="11">
        <f t="shared" si="19"/>
        <v>2017</v>
      </c>
      <c r="B156" t="s">
        <v>15</v>
      </c>
      <c r="C156" s="58">
        <f>Indeks!H157</f>
        <v>112.07367414388708</v>
      </c>
      <c r="D156" s="110">
        <f t="shared" si="18"/>
        <v>3.3786713682139413E-3</v>
      </c>
      <c r="E156" s="110"/>
      <c r="F156" s="110"/>
      <c r="G156" s="110"/>
      <c r="H156" s="58"/>
    </row>
    <row r="157" spans="1:8" ht="13.5" hidden="1" thickBot="1" x14ac:dyDescent="0.25">
      <c r="A157" s="11">
        <f t="shared" si="19"/>
        <v>2017</v>
      </c>
      <c r="B157" t="s">
        <v>16</v>
      </c>
      <c r="C157" s="58">
        <f>Indeks!H158</f>
        <v>112.10674916745913</v>
      </c>
      <c r="D157" s="110">
        <f t="shared" si="18"/>
        <v>2.9511858002967932E-4</v>
      </c>
      <c r="E157" s="110"/>
      <c r="F157" s="110"/>
      <c r="G157" s="110"/>
      <c r="H157" s="58"/>
    </row>
    <row r="158" spans="1:8" ht="13.5" hidden="1" thickBot="1" x14ac:dyDescent="0.25">
      <c r="A158" s="31">
        <f t="shared" si="19"/>
        <v>2017</v>
      </c>
      <c r="B158" s="32" t="s">
        <v>17</v>
      </c>
      <c r="C158" s="101">
        <f>Indeks!H159</f>
        <v>112.7453792086966</v>
      </c>
      <c r="D158" s="104">
        <f t="shared" si="18"/>
        <v>5.6966243868469043E-3</v>
      </c>
      <c r="E158" s="104">
        <f>(SUM(C156:C158)-SUM(C153:C155))/SUM(C153:C155)</f>
        <v>5.636845307100913E-3</v>
      </c>
      <c r="F158" s="104">
        <f>(SUM(C153:C158)-SUM(C147:C152))/SUM(C147:C152)</f>
        <v>5.8590043708198702E-4</v>
      </c>
      <c r="G158" s="104">
        <f>(SUM(C147:C158)-SUM(C135:C146))/SUM(C135:C146)</f>
        <v>9.7083898707170518E-3</v>
      </c>
      <c r="H158" s="101">
        <f>(C147+C148+C149+C150+C151+C152+C153+C154+C155+C156+C157+C158)/12</f>
        <v>111.96105257305392</v>
      </c>
    </row>
    <row r="159" spans="1:8" ht="13.5" hidden="1" thickBot="1" x14ac:dyDescent="0.25">
      <c r="A159" s="2">
        <v>2018</v>
      </c>
      <c r="B159" t="s">
        <v>7</v>
      </c>
      <c r="C159" s="106">
        <f>Indeks!H160</f>
        <v>113.11265885517673</v>
      </c>
      <c r="D159" s="115">
        <f t="shared" ref="D159:D170" si="20">(C159-C158)/C158</f>
        <v>3.257602653500126E-3</v>
      </c>
      <c r="E159" s="115"/>
      <c r="F159" s="115"/>
      <c r="G159" s="115"/>
      <c r="H159" s="106"/>
    </row>
    <row r="160" spans="1:8" ht="13.5" hidden="1" thickBot="1" x14ac:dyDescent="0.25">
      <c r="A160" s="11">
        <f>A159</f>
        <v>2018</v>
      </c>
      <c r="B160" t="s">
        <v>8</v>
      </c>
      <c r="C160" s="58">
        <f>Indeks!H161</f>
        <v>112.46897656409062</v>
      </c>
      <c r="D160" s="110">
        <f t="shared" si="20"/>
        <v>-5.6906300108305633E-3</v>
      </c>
      <c r="E160" s="110"/>
      <c r="F160" s="110"/>
      <c r="G160" s="110"/>
      <c r="H160" s="58"/>
    </row>
    <row r="161" spans="1:8" ht="13.5" hidden="1" thickBot="1" x14ac:dyDescent="0.25">
      <c r="A161" s="13">
        <f t="shared" ref="A161:A170" si="21">A160</f>
        <v>2018</v>
      </c>
      <c r="B161" s="14" t="s">
        <v>9</v>
      </c>
      <c r="C161" s="105">
        <f>Indeks!H162</f>
        <v>113.06631516122607</v>
      </c>
      <c r="D161" s="67">
        <f t="shared" si="20"/>
        <v>5.311141039814238E-3</v>
      </c>
      <c r="E161" s="67">
        <f>(SUM(C159:C161)-SUM(C156:C158))/SUM(C156:C158)</f>
        <v>5.1113570037373546E-3</v>
      </c>
      <c r="F161" s="67"/>
      <c r="G161" s="67"/>
      <c r="H161" s="105"/>
    </row>
    <row r="162" spans="1:8" ht="13.5" hidden="1" thickBot="1" x14ac:dyDescent="0.25">
      <c r="A162" s="11">
        <f t="shared" si="21"/>
        <v>2018</v>
      </c>
      <c r="B162" t="s">
        <v>10</v>
      </c>
      <c r="C162" s="58">
        <f>Indeks!H163</f>
        <v>113.40531025761173</v>
      </c>
      <c r="D162" s="110">
        <f t="shared" si="20"/>
        <v>2.9981970837403837E-3</v>
      </c>
      <c r="E162" s="110"/>
      <c r="F162" s="110"/>
      <c r="G162" s="110"/>
      <c r="H162" s="58"/>
    </row>
    <row r="163" spans="1:8" ht="13.5" hidden="1" thickBot="1" x14ac:dyDescent="0.25">
      <c r="A163" s="11">
        <f t="shared" si="21"/>
        <v>2018</v>
      </c>
      <c r="B163" t="s">
        <v>11</v>
      </c>
      <c r="C163" s="58">
        <f>Indeks!H164</f>
        <v>113.24315548594096</v>
      </c>
      <c r="D163" s="110">
        <f t="shared" si="20"/>
        <v>-1.4298693006740148E-3</v>
      </c>
      <c r="E163" s="110"/>
      <c r="F163" s="110"/>
      <c r="G163" s="110"/>
      <c r="H163" s="58"/>
    </row>
    <row r="164" spans="1:8" ht="13.5" hidden="1" thickBot="1" x14ac:dyDescent="0.25">
      <c r="A164" s="13">
        <f t="shared" si="21"/>
        <v>2018</v>
      </c>
      <c r="B164" s="14" t="s">
        <v>12</v>
      </c>
      <c r="C164" s="105">
        <f>Indeks!H165</f>
        <v>113.57482485055604</v>
      </c>
      <c r="D164" s="67">
        <f t="shared" si="20"/>
        <v>2.9288248211721498E-3</v>
      </c>
      <c r="E164" s="67">
        <f>(SUM(C162:C164)-SUM(C159:C161))/SUM(C159:C161)</f>
        <v>4.6518516084769444E-3</v>
      </c>
      <c r="F164" s="67">
        <f>(SUM(C159:C164)-SUM(C153:C158))/SUM(C153:C158)</f>
        <v>1.0280608824973685E-2</v>
      </c>
      <c r="G164" s="67"/>
      <c r="H164" s="105"/>
    </row>
    <row r="165" spans="1:8" ht="13.5" hidden="1" thickBot="1" x14ac:dyDescent="0.25">
      <c r="A165" s="18">
        <f t="shared" si="21"/>
        <v>2018</v>
      </c>
      <c r="B165" s="23" t="s">
        <v>30</v>
      </c>
      <c r="C165" s="25">
        <f>Indeks!H166</f>
        <v>113.749825588297</v>
      </c>
      <c r="D165" s="113">
        <f t="shared" si="20"/>
        <v>1.5408409211392416E-3</v>
      </c>
      <c r="E165" s="113"/>
      <c r="F165" s="113"/>
      <c r="G165" s="113"/>
      <c r="H165" s="25"/>
    </row>
    <row r="166" spans="1:8" ht="13.5" hidden="1" thickBot="1" x14ac:dyDescent="0.25">
      <c r="A166" s="11">
        <f t="shared" si="21"/>
        <v>2018</v>
      </c>
      <c r="B166" t="s">
        <v>13</v>
      </c>
      <c r="C166" s="58">
        <f>Indeks!H167</f>
        <v>113.66146041819184</v>
      </c>
      <c r="D166" s="110">
        <f t="shared" si="20"/>
        <v>-7.7683785138264554E-4</v>
      </c>
      <c r="E166" s="110"/>
      <c r="F166" s="110"/>
      <c r="G166" s="110"/>
      <c r="H166" s="58"/>
    </row>
    <row r="167" spans="1:8" ht="13.5" hidden="1" thickBot="1" x14ac:dyDescent="0.25">
      <c r="A167" s="13">
        <f t="shared" si="21"/>
        <v>2018</v>
      </c>
      <c r="B167" s="14" t="s">
        <v>14</v>
      </c>
      <c r="C167" s="105">
        <f>Indeks!H168</f>
        <v>114.00716792262767</v>
      </c>
      <c r="D167" s="67">
        <f t="shared" si="20"/>
        <v>3.0415543066566542E-3</v>
      </c>
      <c r="E167" s="67">
        <f>(SUM(C165:C167)-SUM(C162:C164))/SUM(C162:C164)</f>
        <v>3.5128792415143489E-3</v>
      </c>
      <c r="F167" s="67"/>
      <c r="G167" s="67"/>
      <c r="H167" s="105"/>
    </row>
    <row r="168" spans="1:8" ht="13.5" hidden="1" thickBot="1" x14ac:dyDescent="0.25">
      <c r="A168" s="11">
        <f t="shared" si="21"/>
        <v>2018</v>
      </c>
      <c r="B168" t="s">
        <v>15</v>
      </c>
      <c r="C168" s="58">
        <f>Indeks!H169</f>
        <v>115.04979222358025</v>
      </c>
      <c r="D168" s="110">
        <f t="shared" si="20"/>
        <v>9.1452521797591828E-3</v>
      </c>
      <c r="E168" s="110"/>
      <c r="F168" s="110"/>
      <c r="G168" s="110"/>
      <c r="H168" s="58"/>
    </row>
    <row r="169" spans="1:8" ht="13.5" hidden="1" thickBot="1" x14ac:dyDescent="0.25">
      <c r="A169" s="11">
        <f t="shared" si="21"/>
        <v>2018</v>
      </c>
      <c r="B169" t="s">
        <v>16</v>
      </c>
      <c r="C169" s="58">
        <f>Indeks!H170</f>
        <v>115.04989027896636</v>
      </c>
      <c r="D169" s="110">
        <f t="shared" si="20"/>
        <v>8.522865118567489E-7</v>
      </c>
      <c r="E169" s="110"/>
      <c r="F169" s="110"/>
      <c r="G169" s="110"/>
      <c r="H169" s="58"/>
    </row>
    <row r="170" spans="1:8" ht="13.5" hidden="1" thickBot="1" x14ac:dyDescent="0.25">
      <c r="A170" s="31">
        <f t="shared" si="21"/>
        <v>2018</v>
      </c>
      <c r="B170" s="32" t="s">
        <v>17</v>
      </c>
      <c r="C170" s="101">
        <f>Indeks!H171</f>
        <v>115.30451724387144</v>
      </c>
      <c r="D170" s="104">
        <f t="shared" si="20"/>
        <v>2.2131873771255306E-3</v>
      </c>
      <c r="E170" s="104">
        <f>(SUM(C168:C170)-SUM(C165:C167))/SUM(C165:C167)</f>
        <v>1.1674078455434229E-2</v>
      </c>
      <c r="F170" s="104">
        <f>(SUM(C165:C170)-SUM(C159:C164))/SUM(C159:C164)</f>
        <v>1.1712696044060797E-2</v>
      </c>
      <c r="G170" s="104">
        <f>(SUM(C159:C170)-SUM(C147:C158))/SUM(C147:C158)</f>
        <v>1.6494771667011597E-2</v>
      </c>
      <c r="H170" s="101">
        <f>(C159+C160+C161+C162+C163+C164+C165+C166+C167+C168+C169+C170)/12</f>
        <v>113.80782457084473</v>
      </c>
    </row>
    <row r="171" spans="1:8" ht="13.5" hidden="1" thickBot="1" x14ac:dyDescent="0.25">
      <c r="A171" s="2">
        <v>2019</v>
      </c>
      <c r="B171" t="s">
        <v>7</v>
      </c>
      <c r="C171" s="106">
        <f>Indeks!H172</f>
        <v>115.66799263303969</v>
      </c>
      <c r="D171" s="115">
        <f t="shared" ref="D171:D182" si="22">(C171-C170)/C170</f>
        <v>3.1523083210997331E-3</v>
      </c>
      <c r="E171" s="115"/>
      <c r="F171" s="115"/>
      <c r="G171" s="115"/>
      <c r="H171" s="106"/>
    </row>
    <row r="172" spans="1:8" ht="13.5" hidden="1" thickBot="1" x14ac:dyDescent="0.25">
      <c r="A172" s="11">
        <f>A171</f>
        <v>2019</v>
      </c>
      <c r="B172" t="s">
        <v>8</v>
      </c>
      <c r="C172" s="58">
        <f>Indeks!H173</f>
        <v>115.61758789485994</v>
      </c>
      <c r="D172" s="110">
        <f t="shared" si="22"/>
        <v>-4.3577083886690377E-4</v>
      </c>
      <c r="E172" s="110"/>
      <c r="F172" s="110"/>
      <c r="G172" s="110"/>
      <c r="H172" s="58"/>
    </row>
    <row r="173" spans="1:8" ht="13.5" hidden="1" thickBot="1" x14ac:dyDescent="0.25">
      <c r="A173" s="13">
        <f t="shared" ref="A173:A182" si="23">A172</f>
        <v>2019</v>
      </c>
      <c r="B173" s="14" t="s">
        <v>9</v>
      </c>
      <c r="C173" s="105">
        <f>Indeks!H174</f>
        <v>115.30328639318994</v>
      </c>
      <c r="D173" s="67">
        <f t="shared" si="22"/>
        <v>-2.7184575235717659E-3</v>
      </c>
      <c r="E173" s="67">
        <f>(SUM(C171:C173)-SUM(C168:C170))/SUM(C168:C170)</f>
        <v>3.4297995668299708E-3</v>
      </c>
      <c r="F173" s="67"/>
      <c r="G173" s="67"/>
      <c r="H173" s="105"/>
    </row>
    <row r="174" spans="1:8" ht="13.5" hidden="1" thickBot="1" x14ac:dyDescent="0.25">
      <c r="A174" s="11">
        <f t="shared" si="23"/>
        <v>2019</v>
      </c>
      <c r="B174" t="s">
        <v>10</v>
      </c>
      <c r="C174" s="58">
        <f>Indeks!H175</f>
        <v>115.63242971967193</v>
      </c>
      <c r="D174" s="110">
        <f t="shared" si="22"/>
        <v>2.8545875558100061E-3</v>
      </c>
      <c r="E174" s="110"/>
      <c r="F174" s="110"/>
      <c r="G174" s="110"/>
      <c r="H174" s="58"/>
    </row>
    <row r="175" spans="1:8" ht="13.5" hidden="1" thickBot="1" x14ac:dyDescent="0.25">
      <c r="A175" s="11">
        <f t="shared" si="23"/>
        <v>2019</v>
      </c>
      <c r="B175" t="s">
        <v>11</v>
      </c>
      <c r="C175" s="58">
        <f>Indeks!H176</f>
        <v>115.22556229213708</v>
      </c>
      <c r="D175" s="110">
        <f t="shared" si="22"/>
        <v>-3.5186273307688727E-3</v>
      </c>
      <c r="E175" s="110"/>
      <c r="F175" s="110"/>
      <c r="G175" s="110"/>
      <c r="H175" s="58"/>
    </row>
    <row r="176" spans="1:8" ht="13.5" hidden="1" thickBot="1" x14ac:dyDescent="0.25">
      <c r="A176" s="13">
        <f t="shared" si="23"/>
        <v>2019</v>
      </c>
      <c r="B176" s="14" t="s">
        <v>12</v>
      </c>
      <c r="C176" s="105">
        <f>Indeks!H177</f>
        <v>115.70281951913525</v>
      </c>
      <c r="D176" s="67">
        <f t="shared" si="22"/>
        <v>4.141938798164841E-3</v>
      </c>
      <c r="E176" s="67">
        <f>(SUM(C174:C176)-SUM(C171:C173))/SUM(C171:C173)</f>
        <v>-8.0947176389538659E-5</v>
      </c>
      <c r="F176" s="67">
        <f>(SUM(C171:C176)-SUM(C165:C170))/SUM(C165:C170)</f>
        <v>9.2120210983723562E-3</v>
      </c>
      <c r="G176" s="67"/>
      <c r="H176" s="105"/>
    </row>
    <row r="177" spans="1:8" ht="13.5" hidden="1" thickBot="1" x14ac:dyDescent="0.25">
      <c r="A177" s="18">
        <f t="shared" si="23"/>
        <v>2019</v>
      </c>
      <c r="B177" s="23" t="s">
        <v>30</v>
      </c>
      <c r="C177" s="25">
        <f>Indeks!H178</f>
        <v>115.25669848800699</v>
      </c>
      <c r="D177" s="113">
        <f t="shared" si="22"/>
        <v>-3.8557490040636079E-3</v>
      </c>
      <c r="E177" s="113"/>
      <c r="F177" s="113"/>
      <c r="G177" s="113"/>
      <c r="H177" s="25"/>
    </row>
    <row r="178" spans="1:8" ht="13.5" hidden="1" thickBot="1" x14ac:dyDescent="0.25">
      <c r="A178" s="11">
        <f t="shared" si="23"/>
        <v>2019</v>
      </c>
      <c r="B178" t="s">
        <v>13</v>
      </c>
      <c r="C178" s="58">
        <f>Indeks!H179</f>
        <v>114.94863587847202</v>
      </c>
      <c r="D178" s="110">
        <f t="shared" si="22"/>
        <v>-2.6728390937471357E-3</v>
      </c>
      <c r="E178" s="110"/>
      <c r="F178" s="110"/>
      <c r="G178" s="110"/>
      <c r="H178" s="58"/>
    </row>
    <row r="179" spans="1:8" ht="13.5" hidden="1" thickBot="1" x14ac:dyDescent="0.25">
      <c r="A179" s="13">
        <f t="shared" si="23"/>
        <v>2019</v>
      </c>
      <c r="B179" s="14" t="s">
        <v>14</v>
      </c>
      <c r="C179" s="105">
        <f>Indeks!H180</f>
        <v>114.5761561303585</v>
      </c>
      <c r="D179" s="67">
        <f t="shared" si="22"/>
        <v>-3.2404016391053068E-3</v>
      </c>
      <c r="E179" s="67">
        <f>(SUM(C177:C179)-SUM(C174:C176))/SUM(C174:C176)</f>
        <v>-5.134224571573919E-3</v>
      </c>
      <c r="F179" s="67"/>
      <c r="G179" s="67"/>
      <c r="H179" s="105"/>
    </row>
    <row r="180" spans="1:8" ht="13.5" hidden="1" thickBot="1" x14ac:dyDescent="0.25">
      <c r="A180" s="11">
        <f t="shared" si="23"/>
        <v>2019</v>
      </c>
      <c r="B180" t="s">
        <v>15</v>
      </c>
      <c r="C180" s="58">
        <f>Indeks!H181</f>
        <v>115.18878717714618</v>
      </c>
      <c r="D180" s="110">
        <f t="shared" si="22"/>
        <v>5.3469331445424413E-3</v>
      </c>
      <c r="E180" s="110"/>
      <c r="F180" s="110"/>
      <c r="G180" s="110"/>
      <c r="H180" s="58"/>
    </row>
    <row r="181" spans="1:8" ht="13.5" hidden="1" thickBot="1" x14ac:dyDescent="0.25">
      <c r="A181" s="11">
        <f t="shared" si="23"/>
        <v>2019</v>
      </c>
      <c r="B181" t="s">
        <v>16</v>
      </c>
      <c r="C181" s="58">
        <f>Indeks!H182</f>
        <v>115.03966541021245</v>
      </c>
      <c r="D181" s="110">
        <f t="shared" si="22"/>
        <v>-1.2945857890178214E-3</v>
      </c>
      <c r="E181" s="110"/>
      <c r="F181" s="110"/>
      <c r="G181" s="110"/>
      <c r="H181" s="58"/>
    </row>
    <row r="182" spans="1:8" ht="13.5" hidden="1" thickBot="1" x14ac:dyDescent="0.25">
      <c r="A182" s="31">
        <f t="shared" si="23"/>
        <v>2019</v>
      </c>
      <c r="B182" s="32" t="s">
        <v>17</v>
      </c>
      <c r="C182" s="101">
        <f>Indeks!H183</f>
        <v>115.84376437969911</v>
      </c>
      <c r="D182" s="104">
        <f t="shared" si="22"/>
        <v>6.9897540697756331E-3</v>
      </c>
      <c r="E182" s="104">
        <f>(SUM(C180:C182)-SUM(C177:C179))/SUM(C177:C179)</f>
        <v>3.7436071999117043E-3</v>
      </c>
      <c r="F182" s="104">
        <f>(SUM(C177:C182)-SUM(C171:C176))/SUM(C171:C176)</f>
        <v>-3.3123740218215718E-3</v>
      </c>
      <c r="G182" s="104">
        <f>(SUM(C171:C182)-SUM(C159:C170))/SUM(C159:C170)</f>
        <v>1.3406731284978997E-2</v>
      </c>
      <c r="H182" s="101">
        <f>(C171+C172+C173+C174+C175+C176+C177+C178+C179+C180+C181+C182)/12</f>
        <v>115.33361549299407</v>
      </c>
    </row>
    <row r="183" spans="1:8" ht="13.5" hidden="1" thickBot="1" x14ac:dyDescent="0.25">
      <c r="A183" s="2">
        <v>2020</v>
      </c>
      <c r="B183" t="s">
        <v>7</v>
      </c>
      <c r="C183" s="106">
        <f>Indeks!H184</f>
        <v>116.3119319333511</v>
      </c>
      <c r="D183" s="115">
        <f t="shared" ref="D183:D194" si="24">(C183-C182)/C182</f>
        <v>4.0413703418467131E-3</v>
      </c>
      <c r="E183" s="115"/>
      <c r="F183" s="115"/>
      <c r="G183" s="115"/>
      <c r="H183" s="106"/>
    </row>
    <row r="184" spans="1:8" ht="13.5" hidden="1" thickBot="1" x14ac:dyDescent="0.25">
      <c r="A184" s="11">
        <f>A183</f>
        <v>2020</v>
      </c>
      <c r="B184" t="s">
        <v>8</v>
      </c>
      <c r="C184" s="58">
        <f>Indeks!H185</f>
        <v>116.55790906423077</v>
      </c>
      <c r="D184" s="110">
        <f t="shared" si="24"/>
        <v>2.1148056505554012E-3</v>
      </c>
      <c r="E184" s="110"/>
      <c r="F184" s="110"/>
      <c r="G184" s="110"/>
      <c r="H184" s="58"/>
    </row>
    <row r="185" spans="1:8" ht="13.5" hidden="1" thickBot="1" x14ac:dyDescent="0.25">
      <c r="A185" s="13">
        <f t="shared" ref="A185:A194" si="25">A184</f>
        <v>2020</v>
      </c>
      <c r="B185" s="14" t="s">
        <v>9</v>
      </c>
      <c r="C185" s="105">
        <f>Indeks!H186</f>
        <v>116.13184071497163</v>
      </c>
      <c r="D185" s="67">
        <f t="shared" si="24"/>
        <v>-3.6554220359628206E-3</v>
      </c>
      <c r="E185" s="67">
        <f>(SUM(C183:C185)-SUM(C180:C182))/SUM(C180:C182)</f>
        <v>8.4648943251479196E-3</v>
      </c>
      <c r="F185" s="67"/>
      <c r="G185" s="67"/>
      <c r="H185" s="105"/>
    </row>
    <row r="186" spans="1:8" ht="13.5" hidden="1" thickBot="1" x14ac:dyDescent="0.25">
      <c r="A186" s="11">
        <f t="shared" si="25"/>
        <v>2020</v>
      </c>
      <c r="B186" t="s">
        <v>10</v>
      </c>
      <c r="C186" s="58">
        <f>Indeks!H187</f>
        <v>115.99996202382569</v>
      </c>
      <c r="D186" s="110">
        <f t="shared" si="24"/>
        <v>-1.1355945995002294E-3</v>
      </c>
      <c r="E186" s="110"/>
      <c r="F186" s="110"/>
      <c r="G186" s="110"/>
      <c r="H186" s="58"/>
    </row>
    <row r="187" spans="1:8" ht="13.5" hidden="1" thickBot="1" x14ac:dyDescent="0.25">
      <c r="A187" s="11">
        <f t="shared" si="25"/>
        <v>2020</v>
      </c>
      <c r="B187" t="s">
        <v>11</v>
      </c>
      <c r="C187" s="58">
        <f>Indeks!H188</f>
        <v>116.43856783207529</v>
      </c>
      <c r="D187" s="110">
        <f t="shared" si="24"/>
        <v>3.7810857917308454E-3</v>
      </c>
      <c r="E187" s="110"/>
      <c r="F187" s="110"/>
      <c r="G187" s="110"/>
      <c r="H187" s="58"/>
    </row>
    <row r="188" spans="1:8" ht="13.5" hidden="1" thickBot="1" x14ac:dyDescent="0.25">
      <c r="A188" s="13">
        <f t="shared" si="25"/>
        <v>2020</v>
      </c>
      <c r="B188" s="14" t="s">
        <v>12</v>
      </c>
      <c r="C188" s="105">
        <f>Indeks!H189</f>
        <v>115.97724123317413</v>
      </c>
      <c r="D188" s="67">
        <f t="shared" si="24"/>
        <v>-3.9619741765158081E-3</v>
      </c>
      <c r="E188" s="67">
        <f>(SUM(C186:C188)-SUM(C183:C185))/SUM(C183:C185)</f>
        <v>-1.6788189117122442E-3</v>
      </c>
      <c r="F188" s="67">
        <f>(SUM(C183:C188)-SUM(C177:C182))/SUM(C177:C182)</f>
        <v>9.5009193217312545E-3</v>
      </c>
      <c r="G188" s="67"/>
      <c r="H188" s="105"/>
    </row>
    <row r="189" spans="1:8" ht="13.5" hidden="1" thickBot="1" x14ac:dyDescent="0.25">
      <c r="A189" s="18">
        <f t="shared" si="25"/>
        <v>2020</v>
      </c>
      <c r="B189" s="23" t="s">
        <v>30</v>
      </c>
      <c r="C189" s="25">
        <f>Indeks!H190</f>
        <v>116.18083799405504</v>
      </c>
      <c r="D189" s="113">
        <f t="shared" si="24"/>
        <v>1.7554889107215309E-3</v>
      </c>
      <c r="E189" s="113"/>
      <c r="F189" s="113"/>
      <c r="G189" s="113"/>
      <c r="H189" s="25"/>
    </row>
    <row r="190" spans="1:8" ht="13.5" hidden="1" thickBot="1" x14ac:dyDescent="0.25">
      <c r="A190" s="11">
        <f t="shared" si="25"/>
        <v>2020</v>
      </c>
      <c r="B190" t="s">
        <v>13</v>
      </c>
      <c r="C190" s="58">
        <f>Indeks!H191</f>
        <v>116.19727230163735</v>
      </c>
      <c r="D190" s="110">
        <f t="shared" si="24"/>
        <v>1.4145454505291481E-4</v>
      </c>
      <c r="E190" s="110"/>
      <c r="F190" s="110"/>
      <c r="G190" s="110"/>
      <c r="H190" s="58"/>
    </row>
    <row r="191" spans="1:8" ht="13.5" hidden="1" thickBot="1" x14ac:dyDescent="0.25">
      <c r="A191" s="13">
        <f t="shared" si="25"/>
        <v>2020</v>
      </c>
      <c r="B191" s="14" t="s">
        <v>14</v>
      </c>
      <c r="C191" s="105">
        <f>Indeks!H192</f>
        <v>116.34979254630956</v>
      </c>
      <c r="D191" s="67">
        <f t="shared" si="24"/>
        <v>1.3125974616364053E-3</v>
      </c>
      <c r="E191" s="67">
        <f>(SUM(C189:C191)-SUM(C186:C188))/SUM(C186:C188)</f>
        <v>8.9586000068596382E-4</v>
      </c>
      <c r="F191" s="67"/>
      <c r="G191" s="67"/>
      <c r="H191" s="105"/>
    </row>
    <row r="192" spans="1:8" ht="13.5" hidden="1" thickBot="1" x14ac:dyDescent="0.25">
      <c r="A192" s="18">
        <f t="shared" si="25"/>
        <v>2020</v>
      </c>
      <c r="B192" s="19" t="s">
        <v>15</v>
      </c>
      <c r="C192" s="25">
        <f>Indeks!H193</f>
        <v>116.72453755021664</v>
      </c>
      <c r="D192" s="113">
        <f t="shared" si="24"/>
        <v>3.2208480626033245E-3</v>
      </c>
      <c r="E192" s="113"/>
      <c r="F192" s="113"/>
      <c r="G192" s="113"/>
      <c r="H192" s="25"/>
    </row>
    <row r="193" spans="1:8" ht="13.5" hidden="1" thickBot="1" x14ac:dyDescent="0.25">
      <c r="A193" s="11">
        <f t="shared" si="25"/>
        <v>2020</v>
      </c>
      <c r="B193" t="s">
        <v>16</v>
      </c>
      <c r="C193" s="58">
        <f>Indeks!H194</f>
        <v>116.54317236449836</v>
      </c>
      <c r="D193" s="110">
        <f t="shared" si="24"/>
        <v>-1.5537879997190105E-3</v>
      </c>
      <c r="E193" s="110"/>
      <c r="F193" s="110"/>
      <c r="G193" s="110"/>
      <c r="H193" s="58"/>
    </row>
    <row r="194" spans="1:8" ht="13.5" hidden="1" thickBot="1" x14ac:dyDescent="0.25">
      <c r="A194" s="31">
        <f t="shared" si="25"/>
        <v>2020</v>
      </c>
      <c r="B194" s="32" t="s">
        <v>17</v>
      </c>
      <c r="C194" s="101">
        <f>Indeks!H195</f>
        <v>116.68639919533865</v>
      </c>
      <c r="D194" s="104">
        <f t="shared" si="24"/>
        <v>1.2289594313799645E-3</v>
      </c>
      <c r="E194" s="104">
        <f>(SUM(C192:C194)-SUM(C189:C191))/SUM(C189:C191)</f>
        <v>3.5162264277063772E-3</v>
      </c>
      <c r="F194" s="104">
        <f>(SUM(C189:C194)-SUM(C183:C188))/SUM(C183:C188)</f>
        <v>1.81320261680711E-3</v>
      </c>
      <c r="G194" s="104">
        <f>(SUM(C183:C194)-SUM(C171:C182))/SUM(C171:C182)</f>
        <v>8.7399199747985011E-3</v>
      </c>
      <c r="H194" s="101">
        <f>(C183+C184+C185+C186+C187+C188+C189+C190+C191+C192+C193+C194)/12</f>
        <v>116.34162206280702</v>
      </c>
    </row>
    <row r="195" spans="1:8" ht="13.5" hidden="1" thickBot="1" x14ac:dyDescent="0.25">
      <c r="A195" s="2">
        <v>2021</v>
      </c>
      <c r="B195" t="s">
        <v>7</v>
      </c>
      <c r="C195" s="106">
        <f>Indeks!H196</f>
        <v>116.77591400890186</v>
      </c>
      <c r="D195" s="115">
        <f t="shared" ref="D195:D206" si="26">(C195-C194)/C194</f>
        <v>7.6714007956797572E-4</v>
      </c>
      <c r="E195" s="115"/>
      <c r="F195" s="115"/>
      <c r="G195" s="115"/>
      <c r="H195" s="106"/>
    </row>
    <row r="196" spans="1:8" ht="13.5" hidden="1" thickBot="1" x14ac:dyDescent="0.25">
      <c r="A196" s="11">
        <f>A195</f>
        <v>2021</v>
      </c>
      <c r="B196" t="s">
        <v>8</v>
      </c>
      <c r="C196" s="58">
        <f>Indeks!H197</f>
        <v>116.72846544076764</v>
      </c>
      <c r="D196" s="110">
        <f t="shared" si="26"/>
        <v>-4.0632153074487336E-4</v>
      </c>
      <c r="E196" s="110"/>
      <c r="F196" s="110"/>
      <c r="G196" s="110"/>
      <c r="H196" s="58"/>
    </row>
    <row r="197" spans="1:8" ht="13.5" hidden="1" thickBot="1" x14ac:dyDescent="0.25">
      <c r="A197" s="13">
        <f t="shared" ref="A197:A206" si="27">A196</f>
        <v>2021</v>
      </c>
      <c r="B197" s="14" t="s">
        <v>9</v>
      </c>
      <c r="C197" s="105">
        <f>Indeks!H198</f>
        <v>117.02592282193282</v>
      </c>
      <c r="D197" s="67">
        <f t="shared" si="26"/>
        <v>2.5482848595840481E-3</v>
      </c>
      <c r="E197" s="67">
        <f>(SUM(C195:C197)-SUM(C192:C194))/SUM(C192:C194)</f>
        <v>1.6464820573586787E-3</v>
      </c>
      <c r="F197" s="67"/>
      <c r="G197" s="67"/>
      <c r="H197" s="105"/>
    </row>
    <row r="198" spans="1:8" ht="13.5" hidden="1" thickBot="1" x14ac:dyDescent="0.25">
      <c r="A198" s="11">
        <f t="shared" si="27"/>
        <v>2021</v>
      </c>
      <c r="B198" t="s">
        <v>10</v>
      </c>
      <c r="C198" s="58">
        <f>Indeks!H199</f>
        <v>118.25199175050891</v>
      </c>
      <c r="D198" s="110">
        <f t="shared" si="26"/>
        <v>1.0476900322688977E-2</v>
      </c>
      <c r="E198" s="110"/>
      <c r="F198" s="110"/>
      <c r="G198" s="110"/>
      <c r="H198" s="58"/>
    </row>
    <row r="199" spans="1:8" ht="13.5" hidden="1" thickBot="1" x14ac:dyDescent="0.25">
      <c r="A199" s="11">
        <f t="shared" si="27"/>
        <v>2021</v>
      </c>
      <c r="B199" t="s">
        <v>11</v>
      </c>
      <c r="C199" s="58">
        <f>Indeks!H200</f>
        <v>118.37034688061253</v>
      </c>
      <c r="D199" s="110">
        <f t="shared" si="26"/>
        <v>1.0008721912551958E-3</v>
      </c>
      <c r="E199" s="110"/>
      <c r="F199" s="110"/>
      <c r="G199" s="110"/>
      <c r="H199" s="58"/>
    </row>
    <row r="200" spans="1:8" ht="13.5" hidden="1" thickBot="1" x14ac:dyDescent="0.25">
      <c r="A200" s="13">
        <f t="shared" si="27"/>
        <v>2021</v>
      </c>
      <c r="B200" s="14" t="s">
        <v>12</v>
      </c>
      <c r="C200" s="105">
        <f>Indeks!H201</f>
        <v>118.42717729480357</v>
      </c>
      <c r="D200" s="67">
        <f t="shared" si="26"/>
        <v>4.8010684845216372E-4</v>
      </c>
      <c r="E200" s="67">
        <f>(SUM(C198:C200)-SUM(C195:C197))/SUM(C195:C197)</f>
        <v>1.2892504941901041E-2</v>
      </c>
      <c r="F200" s="67">
        <f>(SUM(C195:C200)-SUM(C189:C194))/SUM(C189:C194)</f>
        <v>9.8725974441504685E-3</v>
      </c>
      <c r="G200" s="67"/>
      <c r="H200" s="105"/>
    </row>
    <row r="201" spans="1:8" ht="13.5" hidden="1" thickBot="1" x14ac:dyDescent="0.25">
      <c r="A201" s="18">
        <f t="shared" si="27"/>
        <v>2021</v>
      </c>
      <c r="B201" s="23" t="s">
        <v>30</v>
      </c>
      <c r="C201" s="25">
        <f>Indeks!H202</f>
        <v>119.35625391911876</v>
      </c>
      <c r="D201" s="113">
        <f t="shared" si="26"/>
        <v>7.8451301934049662E-3</v>
      </c>
      <c r="E201" s="113"/>
      <c r="F201" s="113"/>
      <c r="G201" s="113"/>
      <c r="H201" s="25"/>
    </row>
    <row r="202" spans="1:8" ht="13.5" hidden="1" thickBot="1" x14ac:dyDescent="0.25">
      <c r="A202" s="11">
        <f t="shared" si="27"/>
        <v>2021</v>
      </c>
      <c r="B202" t="s">
        <v>13</v>
      </c>
      <c r="C202" s="58">
        <f>Indeks!H203</f>
        <v>119.42250137044365</v>
      </c>
      <c r="D202" s="110">
        <f t="shared" si="26"/>
        <v>5.5503963260936757E-4</v>
      </c>
      <c r="E202" s="110"/>
      <c r="F202" s="110"/>
      <c r="G202" s="110"/>
      <c r="H202" s="58"/>
    </row>
    <row r="203" spans="1:8" ht="13.5" hidden="1" thickBot="1" x14ac:dyDescent="0.25">
      <c r="A203" s="13">
        <f t="shared" si="27"/>
        <v>2021</v>
      </c>
      <c r="B203" s="14" t="s">
        <v>14</v>
      </c>
      <c r="C203" s="105">
        <f>Indeks!H204</f>
        <v>120.46739628902753</v>
      </c>
      <c r="D203" s="67">
        <f t="shared" si="26"/>
        <v>8.7495648357143168E-3</v>
      </c>
      <c r="E203" s="67">
        <f>(SUM(C201:C203)-SUM(C198:C200))/SUM(C198:C200)</f>
        <v>1.1819860229130711E-2</v>
      </c>
      <c r="F203" s="67"/>
      <c r="G203" s="67"/>
      <c r="H203" s="105"/>
    </row>
    <row r="204" spans="1:8" ht="13.5" hidden="1" thickBot="1" x14ac:dyDescent="0.25">
      <c r="A204" s="18">
        <f t="shared" si="27"/>
        <v>2021</v>
      </c>
      <c r="B204" s="19" t="s">
        <v>15</v>
      </c>
      <c r="C204" s="25">
        <f>Indeks!H205</f>
        <v>121.69968920210277</v>
      </c>
      <c r="D204" s="113">
        <f t="shared" si="26"/>
        <v>1.0229264938363092E-2</v>
      </c>
      <c r="E204" s="113"/>
      <c r="F204" s="113"/>
      <c r="G204" s="113"/>
      <c r="H204" s="25"/>
    </row>
    <row r="205" spans="1:8" ht="13.5" hidden="1" thickBot="1" x14ac:dyDescent="0.25">
      <c r="A205" s="11">
        <f t="shared" si="27"/>
        <v>2021</v>
      </c>
      <c r="B205" t="s">
        <v>16</v>
      </c>
      <c r="C205" s="58">
        <f>Indeks!H206</f>
        <v>121.93160993544126</v>
      </c>
      <c r="D205" s="110">
        <f t="shared" si="26"/>
        <v>1.9056805720624357E-3</v>
      </c>
      <c r="E205" s="110"/>
      <c r="F205" s="110"/>
      <c r="G205" s="110"/>
      <c r="H205" s="58"/>
    </row>
    <row r="206" spans="1:8" ht="13.5" hidden="1" thickBot="1" x14ac:dyDescent="0.25">
      <c r="A206" s="31">
        <f t="shared" si="27"/>
        <v>2021</v>
      </c>
      <c r="B206" s="32" t="s">
        <v>17</v>
      </c>
      <c r="C206" s="101">
        <f>Indeks!H207</f>
        <v>123.91291135238586</v>
      </c>
      <c r="D206" s="104">
        <f t="shared" si="26"/>
        <v>1.6249284479993638E-2</v>
      </c>
      <c r="E206" s="104">
        <f>(SUM(C204:C206)-SUM(C201:C203))/SUM(C201:C203)</f>
        <v>2.3098532510026529E-2</v>
      </c>
      <c r="F206" s="104">
        <f>(SUM(C201:C206)-SUM(C195:C200))/SUM(C195:C200)</f>
        <v>3.0061154420738746E-2</v>
      </c>
      <c r="G206" s="104">
        <f>(SUM(C195:C206)-SUM(C183:C194))/SUM(C183:C194)</f>
        <v>2.5980036829798589E-2</v>
      </c>
      <c r="H206" s="101">
        <f>(C195+C196+C197+C198+C199+C200+C201+C202+C203+C204+C205+C206)/12</f>
        <v>119.36418168883726</v>
      </c>
    </row>
    <row r="207" spans="1:8" ht="13.5" hidden="1" thickBot="1" x14ac:dyDescent="0.25">
      <c r="A207" s="2">
        <v>2022</v>
      </c>
      <c r="B207" t="s">
        <v>7</v>
      </c>
      <c r="C207" s="106">
        <f>Indeks!H208</f>
        <v>124.33641028647838</v>
      </c>
      <c r="D207" s="115">
        <f t="shared" ref="D207:D218" si="28">(C207-C206)/C206</f>
        <v>3.4177143404222569E-3</v>
      </c>
      <c r="E207" s="115"/>
      <c r="F207" s="115"/>
      <c r="G207" s="115"/>
      <c r="H207" s="106"/>
    </row>
    <row r="208" spans="1:8" ht="13.5" hidden="1" thickBot="1" x14ac:dyDescent="0.25">
      <c r="A208" s="11">
        <f>A207</f>
        <v>2022</v>
      </c>
      <c r="B208" t="s">
        <v>8</v>
      </c>
      <c r="C208" s="58">
        <f>Indeks!H209</f>
        <v>124.82836083183419</v>
      </c>
      <c r="D208" s="110">
        <f t="shared" si="28"/>
        <v>3.9566088824852111E-3</v>
      </c>
      <c r="E208" s="110"/>
      <c r="F208" s="110"/>
      <c r="G208" s="110"/>
      <c r="H208" s="58"/>
    </row>
    <row r="209" spans="1:8" ht="13.5" hidden="1" thickBot="1" x14ac:dyDescent="0.25">
      <c r="A209" s="13">
        <f t="shared" ref="A209:A218" si="29">A208</f>
        <v>2022</v>
      </c>
      <c r="B209" s="14" t="s">
        <v>9</v>
      </c>
      <c r="C209" s="105">
        <f>Indeks!H210</f>
        <v>129.25124557263371</v>
      </c>
      <c r="D209" s="67">
        <f t="shared" si="28"/>
        <v>3.5431729707305244E-2</v>
      </c>
      <c r="E209" s="67">
        <f>(SUM(C207:C209)-SUM(C204:C206))/SUM(C204:C206)</f>
        <v>2.9579587681504805E-2</v>
      </c>
      <c r="F209" s="67"/>
      <c r="G209" s="67"/>
      <c r="H209" s="105"/>
    </row>
    <row r="210" spans="1:8" ht="13.5" hidden="1" thickBot="1" x14ac:dyDescent="0.25">
      <c r="A210" s="18">
        <f t="shared" si="29"/>
        <v>2022</v>
      </c>
      <c r="B210" s="19" t="s">
        <v>10</v>
      </c>
      <c r="C210" s="25">
        <f>Indeks!H211</f>
        <v>128.39131430364941</v>
      </c>
      <c r="D210" s="113">
        <f t="shared" si="28"/>
        <v>-6.6531758759806508E-3</v>
      </c>
      <c r="E210" s="113"/>
      <c r="F210" s="113"/>
      <c r="G210" s="113"/>
      <c r="H210" s="25"/>
    </row>
    <row r="211" spans="1:8" ht="13.5" hidden="1" thickBot="1" x14ac:dyDescent="0.25">
      <c r="A211" s="11">
        <f t="shared" si="29"/>
        <v>2022</v>
      </c>
      <c r="B211" t="s">
        <v>11</v>
      </c>
      <c r="C211" s="58">
        <f>Indeks!H212</f>
        <v>128.65410579829472</v>
      </c>
      <c r="D211" s="110">
        <f t="shared" si="28"/>
        <v>2.0468011879978361E-3</v>
      </c>
      <c r="E211" s="110"/>
      <c r="F211" s="110"/>
      <c r="G211" s="110"/>
      <c r="H211" s="58"/>
    </row>
    <row r="212" spans="1:8" ht="13.5" hidden="1" thickBot="1" x14ac:dyDescent="0.25">
      <c r="A212" s="31">
        <f t="shared" si="29"/>
        <v>2022</v>
      </c>
      <c r="B212" s="32" t="s">
        <v>12</v>
      </c>
      <c r="C212" s="101">
        <f>Indeks!H213</f>
        <v>132.9114901892512</v>
      </c>
      <c r="D212" s="104">
        <f t="shared" si="28"/>
        <v>3.3091710245386548E-2</v>
      </c>
      <c r="E212" s="104">
        <f>(SUM(C210:C212)-SUM(C207:C209))/SUM(C207:C209)</f>
        <v>3.0497899378488996E-2</v>
      </c>
      <c r="F212" s="104">
        <f>(SUM(C207:C212)-SUM(C201:C206))/SUM(C201:C206)</f>
        <v>5.7213974047857948E-2</v>
      </c>
      <c r="G212" s="104"/>
      <c r="H212" s="101"/>
    </row>
    <row r="213" spans="1:8" ht="13.5" hidden="1" thickBot="1" x14ac:dyDescent="0.25">
      <c r="A213" s="18">
        <f t="shared" si="29"/>
        <v>2022</v>
      </c>
      <c r="B213" s="23" t="s">
        <v>30</v>
      </c>
      <c r="C213" s="25">
        <f>Indeks!H214</f>
        <v>132.88067687739454</v>
      </c>
      <c r="D213" s="113">
        <f t="shared" si="28"/>
        <v>-2.3183331864526426E-4</v>
      </c>
      <c r="E213" s="113"/>
      <c r="F213" s="113"/>
      <c r="G213" s="113"/>
      <c r="H213" s="25"/>
    </row>
    <row r="214" spans="1:8" ht="13.5" hidden="1" thickBot="1" x14ac:dyDescent="0.25">
      <c r="A214" s="11">
        <f t="shared" si="29"/>
        <v>2022</v>
      </c>
      <c r="B214" t="s">
        <v>13</v>
      </c>
      <c r="C214" s="58">
        <f>Indeks!H215</f>
        <v>133.54361951970196</v>
      </c>
      <c r="D214" s="110">
        <f t="shared" si="28"/>
        <v>4.9890071143986374E-3</v>
      </c>
      <c r="E214" s="110"/>
      <c r="F214" s="110"/>
      <c r="G214" s="110"/>
      <c r="H214" s="58"/>
    </row>
    <row r="215" spans="1:8" ht="13.5" hidden="1" thickBot="1" x14ac:dyDescent="0.25">
      <c r="A215" s="13">
        <f t="shared" si="29"/>
        <v>2022</v>
      </c>
      <c r="B215" s="14" t="s">
        <v>14</v>
      </c>
      <c r="C215" s="105">
        <f>Indeks!H216</f>
        <v>136.49847871309871</v>
      </c>
      <c r="D215" s="67">
        <f t="shared" si="28"/>
        <v>2.2126547146348739E-2</v>
      </c>
      <c r="E215" s="67">
        <f>(SUM(C213:C215)-SUM(C210:C212))/SUM(C210:C212)</f>
        <v>3.324948084473673E-2</v>
      </c>
      <c r="F215" s="67"/>
      <c r="G215" s="67"/>
      <c r="H215" s="105"/>
    </row>
    <row r="216" spans="1:8" ht="13.5" hidden="1" thickBot="1" x14ac:dyDescent="0.25">
      <c r="A216" s="18">
        <f t="shared" si="29"/>
        <v>2022</v>
      </c>
      <c r="B216" s="19" t="s">
        <v>15</v>
      </c>
      <c r="C216" s="25">
        <f>Indeks!H217</f>
        <v>137.99928570555366</v>
      </c>
      <c r="D216" s="113">
        <f t="shared" si="28"/>
        <v>1.0995045560979822E-2</v>
      </c>
      <c r="E216" s="113"/>
      <c r="F216" s="113"/>
      <c r="G216" s="113"/>
      <c r="H216" s="25"/>
    </row>
    <row r="217" spans="1:8" ht="13.5" hidden="1" thickBot="1" x14ac:dyDescent="0.25">
      <c r="A217" s="11">
        <f t="shared" si="29"/>
        <v>2022</v>
      </c>
      <c r="B217" t="s">
        <v>16</v>
      </c>
      <c r="C217" s="58">
        <f>Indeks!H218</f>
        <v>145.3498239503939</v>
      </c>
      <c r="D217" s="110">
        <f t="shared" si="28"/>
        <v>5.326504559251078E-2</v>
      </c>
      <c r="E217" s="110"/>
      <c r="F217" s="110"/>
      <c r="G217" s="110"/>
      <c r="H217" s="58"/>
    </row>
    <row r="218" spans="1:8" ht="13.5" hidden="1" thickBot="1" x14ac:dyDescent="0.25">
      <c r="A218" s="31">
        <f t="shared" si="29"/>
        <v>2022</v>
      </c>
      <c r="B218" s="32" t="s">
        <v>17</v>
      </c>
      <c r="C218" s="101">
        <f>Indeks!H219</f>
        <v>147.14541956190735</v>
      </c>
      <c r="D218" s="104">
        <f t="shared" si="28"/>
        <v>1.2353613941261209E-2</v>
      </c>
      <c r="E218" s="104">
        <f>(SUM(C216:C218)-SUM(C213:C215))/SUM(C213:C215)</f>
        <v>6.8429376076145604E-2</v>
      </c>
      <c r="F218" s="104">
        <f>(SUM(C213:C218)-SUM(C207:C212))/SUM(C207:C212)</f>
        <v>8.4652094135300504E-2</v>
      </c>
      <c r="G218" s="104">
        <f>(SUM(C207:C218)-SUM(C195:C206))/SUM(C195:C206)</f>
        <v>0.11827951557374401</v>
      </c>
      <c r="H218" s="101">
        <f>(C207+C208+C209+C210+C211+C212+C213+C214+C215+C216+C217+C218)/12</f>
        <v>133.48251927584928</v>
      </c>
    </row>
    <row r="219" spans="1:8" x14ac:dyDescent="0.2">
      <c r="A219" s="2">
        <v>2023</v>
      </c>
      <c r="B219" t="s">
        <v>7</v>
      </c>
      <c r="C219" s="106">
        <f>Indeks!H220</f>
        <v>145.36270819400974</v>
      </c>
      <c r="D219" s="115">
        <f t="shared" ref="D219:D230" si="30">(C219-C218)/C218</f>
        <v>-1.2115303168832778E-2</v>
      </c>
      <c r="E219" s="115"/>
      <c r="F219" s="115"/>
      <c r="G219" s="115"/>
      <c r="H219" s="106"/>
    </row>
    <row r="220" spans="1:8" x14ac:dyDescent="0.2">
      <c r="A220" s="11">
        <f>A219</f>
        <v>2023</v>
      </c>
      <c r="B220" t="s">
        <v>8</v>
      </c>
      <c r="C220" s="58">
        <f>Indeks!H221</f>
        <v>143.58548137058037</v>
      </c>
      <c r="D220" s="110">
        <f t="shared" si="30"/>
        <v>-1.2226153774304895E-2</v>
      </c>
      <c r="E220" s="110"/>
      <c r="F220" s="110"/>
      <c r="G220" s="110"/>
      <c r="H220" s="58"/>
    </row>
    <row r="221" spans="1:8" x14ac:dyDescent="0.2">
      <c r="A221" s="13">
        <f t="shared" ref="A221:A230" si="31">A220</f>
        <v>2023</v>
      </c>
      <c r="B221" s="14" t="s">
        <v>9</v>
      </c>
      <c r="C221" s="105">
        <f>Indeks!H222</f>
        <v>145.69689393955491</v>
      </c>
      <c r="D221" s="67">
        <f t="shared" si="30"/>
        <v>1.4704916881708883E-2</v>
      </c>
      <c r="E221" s="67">
        <f>(SUM(C219:C221)-SUM(C216:C218))/SUM(C216:C218)</f>
        <v>9.6413636053192236E-3</v>
      </c>
      <c r="F221" s="67"/>
      <c r="G221" s="67"/>
      <c r="H221" s="105"/>
    </row>
    <row r="222" spans="1:8" x14ac:dyDescent="0.2">
      <c r="A222" s="18">
        <f t="shared" si="31"/>
        <v>2023</v>
      </c>
      <c r="B222" s="19" t="s">
        <v>10</v>
      </c>
      <c r="C222" s="25">
        <f>Indeks!H223</f>
        <v>146.33679400577577</v>
      </c>
      <c r="D222" s="113">
        <f t="shared" si="30"/>
        <v>4.3919952506766219E-3</v>
      </c>
      <c r="E222" s="113"/>
      <c r="F222" s="113"/>
      <c r="G222" s="113"/>
      <c r="H222" s="25"/>
    </row>
    <row r="223" spans="1:8" x14ac:dyDescent="0.2">
      <c r="A223" s="11">
        <f t="shared" si="31"/>
        <v>2023</v>
      </c>
      <c r="B223" t="s">
        <v>11</v>
      </c>
      <c r="C223" s="58">
        <f>Indeks!H224</f>
        <v>145.51192223316914</v>
      </c>
      <c r="D223" s="110">
        <f t="shared" si="30"/>
        <v>-5.6368036365076479E-3</v>
      </c>
      <c r="E223" s="110"/>
      <c r="F223" s="110"/>
      <c r="G223" s="110"/>
      <c r="H223" s="58"/>
    </row>
    <row r="224" spans="1:8" ht="13.5" thickBot="1" x14ac:dyDescent="0.25">
      <c r="A224" s="31">
        <f t="shared" si="31"/>
        <v>2023</v>
      </c>
      <c r="B224" s="32" t="s">
        <v>12</v>
      </c>
      <c r="C224" s="101">
        <f>Indeks!H225</f>
        <v>144.33620312694404</v>
      </c>
      <c r="D224" s="104">
        <f t="shared" si="30"/>
        <v>-8.0798816219410756E-3</v>
      </c>
      <c r="E224" s="104">
        <f>(SUM(C222:C224)-SUM(C219:C221))/SUM(C219:C221)</f>
        <v>3.5427430797782249E-3</v>
      </c>
      <c r="F224" s="104">
        <f>(SUM(C219:C224)-SUM(C213:C218))/SUM(C213:C218)</f>
        <v>4.4890714828807278E-2</v>
      </c>
      <c r="G224" s="104"/>
      <c r="H224" s="101"/>
    </row>
    <row r="225" spans="1:8" x14ac:dyDescent="0.2">
      <c r="A225" s="18">
        <f t="shared" si="31"/>
        <v>2023</v>
      </c>
      <c r="B225" s="23" t="s">
        <v>30</v>
      </c>
      <c r="C225" s="25">
        <f>Indeks!H226</f>
        <v>136.9198220098022</v>
      </c>
      <c r="D225" s="113">
        <f t="shared" si="30"/>
        <v>-5.1382681243312973E-2</v>
      </c>
      <c r="E225" s="113"/>
      <c r="F225" s="113"/>
      <c r="G225" s="113"/>
      <c r="H225" s="25"/>
    </row>
    <row r="226" spans="1:8" x14ac:dyDescent="0.2">
      <c r="A226" s="11">
        <f t="shared" si="31"/>
        <v>2023</v>
      </c>
      <c r="B226" t="s">
        <v>13</v>
      </c>
      <c r="C226" s="58">
        <f>Indeks!H227</f>
        <v>137.25239119055155</v>
      </c>
      <c r="D226" s="110">
        <f t="shared" si="30"/>
        <v>2.4289337794022015E-3</v>
      </c>
      <c r="E226" s="110"/>
      <c r="F226" s="110"/>
      <c r="G226" s="110"/>
      <c r="H226" s="58"/>
    </row>
    <row r="227" spans="1:8" x14ac:dyDescent="0.2">
      <c r="A227" s="13">
        <f t="shared" si="31"/>
        <v>2023</v>
      </c>
      <c r="B227" s="14" t="s">
        <v>14</v>
      </c>
      <c r="C227" s="105">
        <f>Indeks!H228</f>
        <v>136.36341660437478</v>
      </c>
      <c r="D227" s="67">
        <f t="shared" si="30"/>
        <v>-6.4769333230965901E-3</v>
      </c>
      <c r="E227" s="67">
        <f>(SUM(C225:C227)-SUM(C222:C224))/SUM(C222:C224)</f>
        <v>-5.8803705544080889E-2</v>
      </c>
      <c r="F227" s="67"/>
      <c r="G227" s="67"/>
      <c r="H227" s="105"/>
    </row>
    <row r="228" spans="1:8" x14ac:dyDescent="0.2">
      <c r="A228" s="18">
        <f t="shared" si="31"/>
        <v>2023</v>
      </c>
      <c r="B228" s="19" t="s">
        <v>15</v>
      </c>
      <c r="C228" s="25">
        <f>Indeks!H229</f>
        <v>136.03161137713897</v>
      </c>
      <c r="D228" s="113">
        <f t="shared" si="30"/>
        <v>-2.4332422543977212E-3</v>
      </c>
      <c r="E228" s="113"/>
      <c r="F228" s="113"/>
      <c r="G228" s="113"/>
      <c r="H228" s="25"/>
    </row>
    <row r="229" spans="1:8" x14ac:dyDescent="0.2">
      <c r="A229" s="11">
        <f t="shared" si="31"/>
        <v>2023</v>
      </c>
      <c r="B229" t="s">
        <v>16</v>
      </c>
      <c r="C229" s="58">
        <f>Indeks!H230</f>
        <v>136.3562151181338</v>
      </c>
      <c r="D229" s="110">
        <f t="shared" si="30"/>
        <v>2.3862375642591505E-3</v>
      </c>
      <c r="E229" s="110"/>
      <c r="F229" s="110"/>
      <c r="G229" s="110"/>
      <c r="H229" s="58"/>
    </row>
    <row r="230" spans="1:8" ht="13.5" thickBot="1" x14ac:dyDescent="0.25">
      <c r="A230" s="31">
        <f t="shared" si="31"/>
        <v>2023</v>
      </c>
      <c r="B230" s="32" t="s">
        <v>17</v>
      </c>
      <c r="C230" s="101">
        <f>Indeks!H231</f>
        <v>136.81794139774954</v>
      </c>
      <c r="D230" s="104">
        <f t="shared" si="30"/>
        <v>3.3861770012882067E-3</v>
      </c>
      <c r="E230" s="104">
        <f>(SUM(C228:C230)-SUM(C225:C227))/SUM(C225:C227)</f>
        <v>-3.2393337268650595E-3</v>
      </c>
      <c r="F230" s="104">
        <f>(SUM(C225:C230)-SUM(C219:C224))/SUM(C219:C224)</f>
        <v>-5.8666565235359326E-2</v>
      </c>
      <c r="G230" s="104">
        <f>(SUM(C219:C230)-SUM(C207:C218))/SUM(C207:C218)</f>
        <v>5.5426214695400135E-2</v>
      </c>
      <c r="H230" s="101">
        <f>(C219+C220+C221+C222+C223+C224+C225+C226+C227+C228+C229+C230)/12</f>
        <v>140.88095004731539</v>
      </c>
    </row>
    <row r="231" spans="1:8" x14ac:dyDescent="0.2">
      <c r="A231" s="49">
        <v>2024</v>
      </c>
      <c r="B231" s="50" t="s">
        <v>7</v>
      </c>
      <c r="C231" s="106">
        <f>Indeks!H232</f>
        <v>137.83784397696468</v>
      </c>
      <c r="D231" s="115">
        <f t="shared" ref="D231:D242" si="32">(C231-C230)/C230</f>
        <v>7.4544505552099887E-3</v>
      </c>
      <c r="E231" s="115"/>
      <c r="F231" s="115"/>
      <c r="G231" s="115"/>
      <c r="H231" s="106"/>
    </row>
    <row r="232" spans="1:8" x14ac:dyDescent="0.2">
      <c r="A232" s="11">
        <f>A231</f>
        <v>2024</v>
      </c>
      <c r="B232" t="s">
        <v>8</v>
      </c>
      <c r="C232" s="58">
        <f>Indeks!H233</f>
        <v>137.45247606417558</v>
      </c>
      <c r="D232" s="110">
        <f t="shared" si="32"/>
        <v>-2.7958063015951925E-3</v>
      </c>
      <c r="E232" s="110"/>
      <c r="F232" s="110"/>
      <c r="G232" s="110"/>
      <c r="H232" s="58"/>
    </row>
    <row r="233" spans="1:8" x14ac:dyDescent="0.2">
      <c r="A233" s="13">
        <f t="shared" ref="A233:A242" si="33">A232</f>
        <v>2024</v>
      </c>
      <c r="B233" s="14" t="s">
        <v>9</v>
      </c>
      <c r="C233" s="105">
        <f>Indeks!H234</f>
        <v>138.67888404177918</v>
      </c>
      <c r="D233" s="67">
        <f t="shared" si="32"/>
        <v>8.9224145880864216E-3</v>
      </c>
      <c r="E233" s="67">
        <f>(SUM(C231:C233)-SUM(C228:C230))/SUM(C228:C230)</f>
        <v>1.1640686822240492E-2</v>
      </c>
      <c r="F233" s="67"/>
      <c r="G233" s="67"/>
      <c r="H233" s="105"/>
    </row>
    <row r="234" spans="1:8" x14ac:dyDescent="0.2">
      <c r="A234" s="18">
        <f t="shared" si="33"/>
        <v>2024</v>
      </c>
      <c r="B234" s="19" t="s">
        <v>10</v>
      </c>
      <c r="C234" s="25">
        <f>Indeks!H235</f>
        <v>139.51681721738856</v>
      </c>
      <c r="D234" s="113">
        <f t="shared" si="32"/>
        <v>6.0422549647640555E-3</v>
      </c>
      <c r="E234" s="113"/>
      <c r="F234" s="113"/>
      <c r="G234" s="113"/>
      <c r="H234" s="25"/>
    </row>
    <row r="235" spans="1:8" x14ac:dyDescent="0.2">
      <c r="A235" s="11">
        <f t="shared" si="33"/>
        <v>2024</v>
      </c>
      <c r="B235" t="s">
        <v>11</v>
      </c>
      <c r="C235" s="58">
        <f>Indeks!H236</f>
        <v>139.42451265591913</v>
      </c>
      <c r="D235" s="110">
        <f t="shared" si="32"/>
        <v>-6.6160168580686924E-4</v>
      </c>
      <c r="E235" s="110"/>
      <c r="F235" s="110"/>
      <c r="G235" s="110"/>
      <c r="H235" s="58"/>
    </row>
    <row r="236" spans="1:8" ht="13.5" thickBot="1" x14ac:dyDescent="0.25">
      <c r="A236" s="13">
        <f t="shared" si="33"/>
        <v>2024</v>
      </c>
      <c r="B236" s="14" t="s">
        <v>12</v>
      </c>
      <c r="C236" s="101">
        <f>Indeks!H237</f>
        <v>137.13984679103868</v>
      </c>
      <c r="D236" s="104">
        <f t="shared" si="32"/>
        <v>-1.6386400220158553E-2</v>
      </c>
      <c r="E236" s="104">
        <f>(SUM(C234:C236)-SUM(C231:C233))/SUM(C231:C233)</f>
        <v>5.1017625480274794E-3</v>
      </c>
      <c r="F236" s="104">
        <f>(SUM(C231:C236)-SUM(C225:C230))/SUM(C225:C230)</f>
        <v>1.2575896591861388E-2</v>
      </c>
      <c r="G236" s="104"/>
      <c r="H236" s="101"/>
    </row>
    <row r="237" spans="1:8" x14ac:dyDescent="0.2">
      <c r="A237" s="18">
        <f t="shared" si="33"/>
        <v>2024</v>
      </c>
      <c r="B237" s="23" t="s">
        <v>30</v>
      </c>
      <c r="C237" s="25">
        <f>Indeks!H238</f>
        <v>138.10231756328213</v>
      </c>
      <c r="D237" s="113">
        <f t="shared" si="32"/>
        <v>7.0181700998250014E-3</v>
      </c>
      <c r="E237" s="113"/>
      <c r="F237" s="113"/>
      <c r="G237" s="113"/>
      <c r="H237" s="25"/>
    </row>
    <row r="238" spans="1:8" x14ac:dyDescent="0.2">
      <c r="A238" s="11">
        <f t="shared" si="33"/>
        <v>2024</v>
      </c>
      <c r="B238" t="s">
        <v>13</v>
      </c>
      <c r="C238" s="58">
        <f>Indeks!H239</f>
        <v>138.09343049738109</v>
      </c>
      <c r="D238" s="110">
        <f t="shared" si="32"/>
        <v>-6.4351316167906425E-5</v>
      </c>
      <c r="E238" s="110"/>
      <c r="F238" s="110"/>
      <c r="G238" s="110"/>
      <c r="H238" s="58"/>
    </row>
    <row r="239" spans="1:8" x14ac:dyDescent="0.2">
      <c r="A239" s="13">
        <f t="shared" si="33"/>
        <v>2024</v>
      </c>
      <c r="B239" s="14" t="s">
        <v>14</v>
      </c>
      <c r="C239" s="105">
        <f>Indeks!H240</f>
        <v>137.89434838882426</v>
      </c>
      <c r="D239" s="67">
        <f t="shared" si="32"/>
        <v>-1.4416479324163983E-3</v>
      </c>
      <c r="E239" s="67">
        <f>(SUM(C237:C239)-SUM(C234:C236))/SUM(C234:C236)</f>
        <v>-4.7853167279065219E-3</v>
      </c>
      <c r="F239" s="67"/>
      <c r="G239" s="67"/>
      <c r="H239" s="105"/>
    </row>
    <row r="240" spans="1:8" x14ac:dyDescent="0.2">
      <c r="A240" s="18">
        <f t="shared" si="33"/>
        <v>2024</v>
      </c>
      <c r="B240" s="19" t="s">
        <v>15</v>
      </c>
      <c r="C240" s="25">
        <f>Indeks!H241</f>
        <v>141.19895994311696</v>
      </c>
      <c r="D240" s="113">
        <f t="shared" si="32"/>
        <v>2.3964807788747128E-2</v>
      </c>
      <c r="E240" s="113"/>
      <c r="F240" s="113"/>
      <c r="G240" s="113"/>
      <c r="H240" s="25"/>
    </row>
    <row r="241" spans="1:8" x14ac:dyDescent="0.2">
      <c r="A241" s="11">
        <f t="shared" si="33"/>
        <v>2024</v>
      </c>
      <c r="B241" t="s">
        <v>16</v>
      </c>
      <c r="C241" s="58">
        <f>Indeks!H242</f>
        <v>139.57819612923041</v>
      </c>
      <c r="D241" s="110">
        <f t="shared" si="32"/>
        <v>-1.1478581814904949E-2</v>
      </c>
      <c r="E241" s="110"/>
      <c r="F241" s="110"/>
      <c r="G241" s="110"/>
      <c r="H241" s="58"/>
    </row>
    <row r="242" spans="1:8" ht="13.5" thickBot="1" x14ac:dyDescent="0.25">
      <c r="A242" s="31">
        <f t="shared" si="33"/>
        <v>2024</v>
      </c>
      <c r="B242" s="32" t="s">
        <v>17</v>
      </c>
      <c r="C242" s="101">
        <f>Indeks!H243</f>
        <v>141.61759443385091</v>
      </c>
      <c r="D242" s="104">
        <f t="shared" si="32"/>
        <v>1.4611152466337219E-2</v>
      </c>
      <c r="E242" s="104">
        <f>(SUM(C240:C242)-SUM(C237:C239))/SUM(C237:C239)</f>
        <v>2.0055186366244846E-2</v>
      </c>
      <c r="F242" s="104">
        <f>(SUM(C237:C242)-SUM(C231:C236))/SUM(C231:C236)</f>
        <v>7.7518983879354825E-3</v>
      </c>
      <c r="G242" s="104">
        <f>(SUM(C231:C242)-SUM(C219:C230))/SUM(C219:C230)</f>
        <v>-1.4217780365124312E-2</v>
      </c>
      <c r="H242" s="101">
        <f>(C231+C232+C233+C234+C235+C236+C237+C238+C239+C240+C241+C242)/12</f>
        <v>138.87793564191261</v>
      </c>
    </row>
    <row r="243" spans="1:8" x14ac:dyDescent="0.2">
      <c r="A243" s="49">
        <v>2025</v>
      </c>
      <c r="B243" s="50" t="s">
        <v>7</v>
      </c>
      <c r="C243" s="106">
        <f>Indeks!H244</f>
        <v>142.33112140367413</v>
      </c>
      <c r="D243" s="115">
        <f t="shared" ref="D243:D254" si="34">(C243-C242)/C242</f>
        <v>5.0384062282353391E-3</v>
      </c>
      <c r="E243" s="115"/>
      <c r="F243" s="115"/>
      <c r="G243" s="115"/>
      <c r="H243" s="106"/>
    </row>
    <row r="244" spans="1:8" x14ac:dyDescent="0.2">
      <c r="A244" s="11">
        <f>A243</f>
        <v>2025</v>
      </c>
      <c r="B244" t="s">
        <v>8</v>
      </c>
      <c r="C244" s="58">
        <f>Indeks!H245</f>
        <v>141.93594208166854</v>
      </c>
      <c r="D244" s="110">
        <f t="shared" si="34"/>
        <v>-2.7764786654409642E-3</v>
      </c>
      <c r="E244" s="110"/>
      <c r="F244" s="110"/>
      <c r="G244" s="110"/>
      <c r="H244" s="58"/>
    </row>
    <row r="245" spans="1:8" x14ac:dyDescent="0.2">
      <c r="A245" s="13">
        <f t="shared" ref="A245:A254" si="35">A244</f>
        <v>2025</v>
      </c>
      <c r="B245" s="14" t="s">
        <v>9</v>
      </c>
      <c r="C245" s="105">
        <f>Indeks!H246</f>
        <v>142.04977417943354</v>
      </c>
      <c r="D245" s="67">
        <f t="shared" si="34"/>
        <v>8.019962815303004E-4</v>
      </c>
      <c r="E245" s="67">
        <f>(SUM(C243:C245)-SUM(C240:C242))/SUM(C240:C242)</f>
        <v>9.2853596165144211E-3</v>
      </c>
      <c r="F245" s="67"/>
      <c r="G245" s="67"/>
      <c r="H245" s="105"/>
    </row>
    <row r="246" spans="1:8" x14ac:dyDescent="0.2">
      <c r="A246" s="18">
        <f t="shared" si="35"/>
        <v>2025</v>
      </c>
      <c r="B246" s="19" t="s">
        <v>10</v>
      </c>
      <c r="C246" s="25">
        <f>Indeks!H247</f>
        <v>144.09697183388525</v>
      </c>
      <c r="D246" s="113">
        <f t="shared" si="34"/>
        <v>1.4411833220274898E-2</v>
      </c>
      <c r="E246" s="113"/>
      <c r="F246" s="113"/>
      <c r="G246" s="113"/>
      <c r="H246" s="25"/>
    </row>
    <row r="247" spans="1:8" x14ac:dyDescent="0.2">
      <c r="A247" s="11">
        <f t="shared" si="35"/>
        <v>2025</v>
      </c>
      <c r="B247" t="s">
        <v>11</v>
      </c>
      <c r="C247" s="58">
        <f>Indeks!H248</f>
        <v>142.06884391526717</v>
      </c>
      <c r="D247" s="110">
        <f t="shared" si="34"/>
        <v>-1.4074743506449983E-2</v>
      </c>
      <c r="E247" s="110"/>
      <c r="F247" s="110"/>
      <c r="G247" s="110"/>
      <c r="H247" s="58"/>
    </row>
    <row r="248" spans="1:8" ht="13.5" thickBot="1" x14ac:dyDescent="0.25">
      <c r="A248" s="13">
        <f t="shared" si="35"/>
        <v>2025</v>
      </c>
      <c r="B248" s="14" t="s">
        <v>12</v>
      </c>
      <c r="C248" s="101">
        <f>Indeks!H249</f>
        <v>139.91090340324214</v>
      </c>
      <c r="D248" s="104">
        <f t="shared" si="34"/>
        <v>-1.518940010036305E-2</v>
      </c>
      <c r="E248" s="104">
        <f>(SUM(C246:C248)-SUM(C243:C245))/SUM(C243:C245)</f>
        <v>-5.6323957012080787E-4</v>
      </c>
      <c r="F248" s="104">
        <f>(SUM(C243:C248)-SUM(C237:C242))/SUM(C237:C242)</f>
        <v>1.9018527256510858E-2</v>
      </c>
      <c r="G248" s="104"/>
      <c r="H248" s="101"/>
    </row>
    <row r="249" spans="1:8" x14ac:dyDescent="0.2">
      <c r="A249" s="18">
        <f t="shared" si="35"/>
        <v>2025</v>
      </c>
      <c r="B249" s="23" t="s">
        <v>30</v>
      </c>
      <c r="C249" s="25">
        <f>Indeks!H250</f>
        <v>140.38969230578314</v>
      </c>
      <c r="D249" s="113">
        <f t="shared" si="34"/>
        <v>3.4220985705528881E-3</v>
      </c>
      <c r="E249" s="113"/>
      <c r="F249" s="113"/>
      <c r="G249" s="113"/>
      <c r="H249" s="25"/>
    </row>
    <row r="250" spans="1:8" x14ac:dyDescent="0.2">
      <c r="A250" s="11">
        <f t="shared" si="35"/>
        <v>2025</v>
      </c>
      <c r="B250" t="s">
        <v>13</v>
      </c>
      <c r="C250" s="189">
        <f>Indeks!H251</f>
        <v>140.40247842821853</v>
      </c>
      <c r="D250" s="135">
        <f t="shared" si="34"/>
        <v>9.1075934603068823E-5</v>
      </c>
      <c r="E250" s="135"/>
      <c r="F250" s="135"/>
      <c r="G250" s="135"/>
      <c r="H250" s="135"/>
    </row>
    <row r="251" spans="1:8" x14ac:dyDescent="0.2">
      <c r="A251" s="13">
        <f t="shared" si="35"/>
        <v>2025</v>
      </c>
      <c r="B251" s="14" t="s">
        <v>14</v>
      </c>
      <c r="C251" s="158">
        <f>Indeks!H252</f>
        <v>140.41527665941481</v>
      </c>
      <c r="D251" s="160">
        <f t="shared" si="34"/>
        <v>9.1153883745923148E-5</v>
      </c>
      <c r="E251" s="160">
        <f>(SUM(C249:C251)-SUM(C246:C248))/SUM(C246:C248)</f>
        <v>-1.1428157278024242E-2</v>
      </c>
      <c r="F251" s="160"/>
      <c r="G251" s="160"/>
      <c r="H251" s="160"/>
    </row>
    <row r="252" spans="1:8" x14ac:dyDescent="0.2">
      <c r="A252" s="18">
        <f t="shared" si="35"/>
        <v>2025</v>
      </c>
      <c r="B252" s="19" t="s">
        <v>15</v>
      </c>
      <c r="C252" s="159">
        <f>Indeks!H253</f>
        <v>141.42002773948221</v>
      </c>
      <c r="D252" s="135">
        <f t="shared" si="34"/>
        <v>7.1555681402421323E-3</v>
      </c>
      <c r="E252" s="161"/>
      <c r="F252" s="161"/>
      <c r="G252" s="161"/>
      <c r="H252" s="135"/>
    </row>
    <row r="253" spans="1:8" x14ac:dyDescent="0.2">
      <c r="A253" s="11">
        <f t="shared" si="35"/>
        <v>2025</v>
      </c>
      <c r="B253" t="s">
        <v>16</v>
      </c>
      <c r="C253" s="189">
        <f>Indeks!H254</f>
        <v>141.43285022411834</v>
      </c>
      <c r="D253" s="135">
        <f t="shared" si="34"/>
        <v>9.0669510118842738E-5</v>
      </c>
      <c r="E253" s="135"/>
      <c r="F253" s="135"/>
      <c r="G253" s="135"/>
      <c r="H253" s="135"/>
    </row>
    <row r="254" spans="1:8" ht="13.5" thickBot="1" x14ac:dyDescent="0.25">
      <c r="A254" s="31">
        <f t="shared" si="35"/>
        <v>2025</v>
      </c>
      <c r="B254" s="32" t="s">
        <v>17</v>
      </c>
      <c r="C254" s="181">
        <f>Indeks!H255</f>
        <v>141.44568485345712</v>
      </c>
      <c r="D254" s="188">
        <f t="shared" si="34"/>
        <v>9.0747158941118991E-5</v>
      </c>
      <c r="E254" s="188">
        <f>(SUM(C252:C254)-SUM(C249:C251))/SUM(C249:C251)</f>
        <v>7.3387007821683814E-3</v>
      </c>
      <c r="F254" s="188">
        <f>(SUM(C249:C254)-SUM(C243:C248))/SUM(C243:C248)</f>
        <v>-8.0802424556264737E-3</v>
      </c>
      <c r="G254" s="188">
        <f>(SUM(C243:C254)-SUM(C231:C242))/SUM(C231:C242)</f>
        <v>1.8820087810519373E-2</v>
      </c>
      <c r="H254" s="181">
        <f>(C243+C244+C245+C246+C247+C248+C249+C250+C251+C252+C253+C254)/12</f>
        <v>141.49163058563707</v>
      </c>
    </row>
    <row r="255" spans="1:8" x14ac:dyDescent="0.2">
      <c r="A255" s="49">
        <v>2026</v>
      </c>
      <c r="B255" s="50" t="s">
        <v>7</v>
      </c>
      <c r="C255" s="196">
        <f>Indeks!H256</f>
        <v>142.36981338263399</v>
      </c>
      <c r="D255" s="200">
        <f t="shared" ref="D255:D266" si="36">(C255-C254)/C254</f>
        <v>6.5334515516277487E-3</v>
      </c>
      <c r="E255" s="200"/>
      <c r="F255" s="200"/>
      <c r="G255" s="200"/>
      <c r="H255" s="200"/>
    </row>
    <row r="256" spans="1:8" x14ac:dyDescent="0.2">
      <c r="A256" s="193">
        <f>A255</f>
        <v>2026</v>
      </c>
      <c r="B256" t="s">
        <v>8</v>
      </c>
      <c r="C256" s="197">
        <f>Indeks!H257</f>
        <v>142.39321402057178</v>
      </c>
      <c r="D256" s="78">
        <f t="shared" si="36"/>
        <v>1.6436516549257131E-4</v>
      </c>
      <c r="E256" s="78"/>
      <c r="F256" s="78"/>
      <c r="G256" s="78"/>
      <c r="H256" s="78"/>
    </row>
    <row r="257" spans="1:8" x14ac:dyDescent="0.2">
      <c r="A257" s="194">
        <f t="shared" ref="A257:A266" si="37">A256</f>
        <v>2026</v>
      </c>
      <c r="B257" s="14" t="s">
        <v>9</v>
      </c>
      <c r="C257" s="198">
        <f>Indeks!H258</f>
        <v>142.41663898085059</v>
      </c>
      <c r="D257" s="79">
        <f t="shared" si="36"/>
        <v>1.6450896512127717E-4</v>
      </c>
      <c r="E257" s="79">
        <f>(SUM(C255:C257)-SUM(C252:C254))/SUM(C252:C254)</f>
        <v>6.7902741594742244E-3</v>
      </c>
      <c r="F257" s="79"/>
      <c r="G257" s="79"/>
      <c r="H257" s="79"/>
    </row>
    <row r="258" spans="1:8" x14ac:dyDescent="0.2">
      <c r="A258" s="195">
        <f t="shared" si="37"/>
        <v>2026</v>
      </c>
      <c r="B258" s="19" t="s">
        <v>10</v>
      </c>
      <c r="C258" s="199">
        <f>Indeks!H259</f>
        <v>143.34870502324611</v>
      </c>
      <c r="D258" s="80">
        <f t="shared" si="36"/>
        <v>6.5446428806738306E-3</v>
      </c>
      <c r="E258" s="80"/>
      <c r="F258" s="80"/>
      <c r="G258" s="80"/>
      <c r="H258" s="78"/>
    </row>
    <row r="259" spans="1:8" x14ac:dyDescent="0.2">
      <c r="A259" s="193">
        <f t="shared" si="37"/>
        <v>2026</v>
      </c>
      <c r="B259" t="s">
        <v>11</v>
      </c>
      <c r="C259" s="197">
        <f>Indeks!H260</f>
        <v>143.37217871090888</v>
      </c>
      <c r="D259" s="78">
        <f t="shared" si="36"/>
        <v>1.637523524120119E-4</v>
      </c>
      <c r="E259" s="78"/>
      <c r="F259" s="78"/>
      <c r="G259" s="78"/>
      <c r="H259" s="78"/>
    </row>
    <row r="260" spans="1:8" x14ac:dyDescent="0.2">
      <c r="A260" s="194">
        <f t="shared" si="37"/>
        <v>2026</v>
      </c>
      <c r="B260" s="14" t="s">
        <v>12</v>
      </c>
      <c r="C260" s="198">
        <f>Indeks!H261</f>
        <v>143.39567680368037</v>
      </c>
      <c r="D260" s="79">
        <f t="shared" si="36"/>
        <v>1.6389576403711401E-4</v>
      </c>
      <c r="E260" s="79">
        <f>(SUM(C258:C260)-SUM(C255:C257))/SUM(C255:C257)</f>
        <v>6.8750794686433707E-3</v>
      </c>
      <c r="F260" s="79">
        <f>(SUM(C255:C260)-SUM(C249:C254))/SUM(C249:C254)</f>
        <v>1.3944568777793279E-2</v>
      </c>
      <c r="G260" s="79"/>
      <c r="H260" s="79"/>
    </row>
    <row r="261" spans="1:8" x14ac:dyDescent="0.2">
      <c r="A261" s="195">
        <f t="shared" si="37"/>
        <v>2026</v>
      </c>
      <c r="B261" s="23" t="s">
        <v>30</v>
      </c>
      <c r="C261" s="199">
        <f>Indeks!H262</f>
        <v>144.3357492736383</v>
      </c>
      <c r="D261" s="80">
        <f t="shared" si="36"/>
        <v>6.5557936676498042E-3</v>
      </c>
      <c r="E261" s="80"/>
      <c r="F261" s="80"/>
      <c r="G261" s="80"/>
      <c r="H261" s="78"/>
    </row>
    <row r="262" spans="1:8" x14ac:dyDescent="0.2">
      <c r="A262" s="193">
        <f t="shared" si="37"/>
        <v>2026</v>
      </c>
      <c r="B262" t="s">
        <v>13</v>
      </c>
      <c r="C262" s="197">
        <f>Indeks!H263</f>
        <v>144.35929625962538</v>
      </c>
      <c r="D262" s="78">
        <f t="shared" si="36"/>
        <v>1.6314035923588392E-4</v>
      </c>
      <c r="E262" s="78"/>
      <c r="F262" s="78"/>
      <c r="G262" s="78"/>
      <c r="H262" s="78"/>
    </row>
    <row r="263" spans="1:8" x14ac:dyDescent="0.2">
      <c r="A263" s="194">
        <f t="shared" si="37"/>
        <v>2026</v>
      </c>
      <c r="B263" s="14" t="s">
        <v>14</v>
      </c>
      <c r="C263" s="198">
        <f>Indeks!H264</f>
        <v>144.38286773378536</v>
      </c>
      <c r="D263" s="79">
        <f t="shared" si="36"/>
        <v>1.632833823018005E-4</v>
      </c>
      <c r="E263" s="79">
        <f>(SUM(C261:C263)-SUM(C258:C260))/SUM(C258:C260)</f>
        <v>6.885000488032071E-3</v>
      </c>
      <c r="F263" s="79"/>
      <c r="G263" s="79"/>
      <c r="H263" s="79"/>
    </row>
    <row r="264" spans="1:8" x14ac:dyDescent="0.2">
      <c r="A264" s="195">
        <f t="shared" si="37"/>
        <v>2026</v>
      </c>
      <c r="B264" s="19" t="s">
        <v>15</v>
      </c>
      <c r="C264" s="199">
        <f>Indeks!H265</f>
        <v>145.33101614606852</v>
      </c>
      <c r="D264" s="78">
        <f t="shared" si="36"/>
        <v>6.5669038658476174E-3</v>
      </c>
      <c r="E264" s="80"/>
      <c r="F264" s="80"/>
      <c r="G264" s="80"/>
      <c r="H264" s="78"/>
    </row>
    <row r="265" spans="1:8" x14ac:dyDescent="0.2">
      <c r="A265" s="193">
        <f t="shared" si="37"/>
        <v>2026</v>
      </c>
      <c r="B265" t="s">
        <v>16</v>
      </c>
      <c r="C265" s="197">
        <f>Indeks!H266</f>
        <v>145.35463667986986</v>
      </c>
      <c r="D265" s="78">
        <f t="shared" si="36"/>
        <v>1.625292000820698E-4</v>
      </c>
      <c r="E265" s="78"/>
      <c r="F265" s="78"/>
      <c r="G265" s="78"/>
      <c r="H265" s="78"/>
    </row>
    <row r="266" spans="1:8" ht="13.5" thickBot="1" x14ac:dyDescent="0.25">
      <c r="A266" s="193">
        <f t="shared" si="37"/>
        <v>2026</v>
      </c>
      <c r="B266" t="s">
        <v>17</v>
      </c>
      <c r="C266" s="197">
        <f>Indeks!H267</f>
        <v>145.37828178520596</v>
      </c>
      <c r="D266" s="78">
        <f t="shared" si="36"/>
        <v>1.6267183404803954E-4</v>
      </c>
      <c r="E266" s="78">
        <f>(SUM(C264:C266)-SUM(C261:C263))/SUM(C261:C263)</f>
        <v>6.894882543349766E-3</v>
      </c>
      <c r="F266" s="78">
        <f>(SUM(C261:C266)-SUM(C255:C260))/SUM(C255:C260)</f>
        <v>1.3817418745482158E-2</v>
      </c>
      <c r="G266" s="78">
        <f>(SUM(C255:C266)-SUM(C243:C254))/SUM(C243:C254)</f>
        <v>1.6808124771714214E-2</v>
      </c>
      <c r="H266" s="181">
        <f>(C255+C256+C257+C258+C259+C260+C261+C262+C263+C264+C265+C266)/12</f>
        <v>143.86983956667376</v>
      </c>
    </row>
  </sheetData>
  <pageMargins left="0.7" right="0.7" top="0.75" bottom="0.75" header="0.3" footer="0.3"/>
  <pageSetup paperSize="9" fitToHeight="0" orientation="portrait" r:id="rId1"/>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F194"/>
  <sheetViews>
    <sheetView workbookViewId="0">
      <selection activeCell="E250" sqref="E250"/>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61" t="s">
        <v>32</v>
      </c>
    </row>
    <row r="2" spans="1:5" x14ac:dyDescent="0.2">
      <c r="A2" s="6" t="s">
        <v>28</v>
      </c>
      <c r="B2" s="6" t="s">
        <v>29</v>
      </c>
    </row>
    <row r="3" spans="1:5" x14ac:dyDescent="0.2">
      <c r="A3" s="6"/>
      <c r="B3" s="6"/>
    </row>
    <row r="4" spans="1:5" x14ac:dyDescent="0.2">
      <c r="A4" s="2" t="s">
        <v>22</v>
      </c>
      <c r="B4" s="2" t="s">
        <v>23</v>
      </c>
      <c r="C4" s="2" t="s">
        <v>24</v>
      </c>
      <c r="D4" s="2" t="s">
        <v>37</v>
      </c>
      <c r="E4" s="2" t="s">
        <v>27</v>
      </c>
    </row>
    <row r="5" spans="1:5" ht="101.25" x14ac:dyDescent="0.2">
      <c r="A5" s="114" t="s">
        <v>3</v>
      </c>
      <c r="B5" s="143" t="s">
        <v>90</v>
      </c>
      <c r="C5" t="s">
        <v>25</v>
      </c>
      <c r="D5" s="7" t="s">
        <v>38</v>
      </c>
      <c r="E5" s="5">
        <f>Indeks!C2</f>
        <v>0.68</v>
      </c>
    </row>
    <row r="6" spans="1:5" ht="25.5" x14ac:dyDescent="0.2">
      <c r="A6" s="176" t="s">
        <v>73</v>
      </c>
      <c r="B6" s="143" t="s">
        <v>74</v>
      </c>
      <c r="C6" t="s">
        <v>26</v>
      </c>
      <c r="D6" s="7" t="s">
        <v>39</v>
      </c>
      <c r="E6" s="5">
        <f>Indeks!D2</f>
        <v>0.06</v>
      </c>
    </row>
    <row r="7" spans="1:5" x14ac:dyDescent="0.2">
      <c r="A7" s="114"/>
      <c r="B7" s="171"/>
      <c r="D7" s="7"/>
      <c r="E7" s="5"/>
    </row>
    <row r="8" spans="1:5" ht="38.25" x14ac:dyDescent="0.2">
      <c r="A8" s="114" t="s">
        <v>4</v>
      </c>
      <c r="B8" s="143" t="s">
        <v>75</v>
      </c>
      <c r="C8" t="s">
        <v>26</v>
      </c>
      <c r="D8" s="7" t="s">
        <v>39</v>
      </c>
      <c r="E8" s="5">
        <f>Indeks!E2</f>
        <v>0.09</v>
      </c>
    </row>
    <row r="9" spans="1:5" x14ac:dyDescent="0.2">
      <c r="A9" s="114"/>
      <c r="B9" s="171" t="s">
        <v>71</v>
      </c>
      <c r="D9" s="7"/>
      <c r="E9" s="5"/>
    </row>
    <row r="10" spans="1:5" ht="89.25" x14ac:dyDescent="0.2">
      <c r="A10" s="114" t="s">
        <v>5</v>
      </c>
      <c r="B10" s="143" t="s">
        <v>79</v>
      </c>
      <c r="C10" t="s">
        <v>26</v>
      </c>
      <c r="D10" s="7" t="s">
        <v>39</v>
      </c>
      <c r="E10" s="5">
        <f>Indeks!F2</f>
        <v>0.1</v>
      </c>
    </row>
    <row r="11" spans="1:5" ht="63.75" x14ac:dyDescent="0.2">
      <c r="A11" s="114" t="s">
        <v>6</v>
      </c>
      <c r="B11" s="143" t="s">
        <v>80</v>
      </c>
      <c r="C11" t="s">
        <v>26</v>
      </c>
      <c r="D11" s="7" t="s">
        <v>39</v>
      </c>
      <c r="E11" s="5">
        <f>Indeks!G2</f>
        <v>7.0000000000000007E-2</v>
      </c>
    </row>
    <row r="126" spans="6:6" x14ac:dyDescent="0.2">
      <c r="F126" s="12"/>
    </row>
    <row r="194" spans="4:4" x14ac:dyDescent="0.2">
      <c r="D194" s="178"/>
    </row>
  </sheetData>
  <phoneticPr fontId="5" type="noConversion"/>
  <pageMargins left="0.35433070866141736" right="0.35433070866141736" top="0.98425196850393704" bottom="0.98425196850393704" header="0" footer="0"/>
  <pageSetup paperSize="9" scale="78"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5"/>
      <c r="B3" s="145" t="s">
        <v>2</v>
      </c>
      <c r="C3" s="145" t="s">
        <v>48</v>
      </c>
      <c r="D3" s="145" t="s">
        <v>49</v>
      </c>
      <c r="E3" s="145" t="s">
        <v>50</v>
      </c>
      <c r="F3" s="145" t="s">
        <v>52</v>
      </c>
      <c r="G3" s="145" t="s">
        <v>53</v>
      </c>
      <c r="H3" s="145" t="s">
        <v>59</v>
      </c>
      <c r="I3" s="152" t="s">
        <v>62</v>
      </c>
      <c r="J3" s="152" t="s">
        <v>61</v>
      </c>
      <c r="K3" s="152" t="s">
        <v>63</v>
      </c>
    </row>
    <row r="4" spans="1:11" x14ac:dyDescent="0.2">
      <c r="A4" s="145"/>
      <c r="B4" s="145" t="s">
        <v>51</v>
      </c>
      <c r="C4" s="145" t="s">
        <v>50</v>
      </c>
      <c r="D4" s="145" t="s">
        <v>52</v>
      </c>
      <c r="E4" s="145" t="s">
        <v>53</v>
      </c>
      <c r="F4" s="145" t="s">
        <v>59</v>
      </c>
      <c r="G4" s="145" t="s">
        <v>60</v>
      </c>
      <c r="H4" s="145" t="s">
        <v>61</v>
      </c>
      <c r="I4" s="152" t="s">
        <v>63</v>
      </c>
      <c r="J4" s="152" t="s">
        <v>64</v>
      </c>
      <c r="K4" s="153" t="s">
        <v>65</v>
      </c>
    </row>
    <row r="5" spans="1:11" x14ac:dyDescent="0.2">
      <c r="A5" s="145" t="s">
        <v>56</v>
      </c>
      <c r="B5" s="145" t="s">
        <v>54</v>
      </c>
      <c r="C5" s="146">
        <v>99.1</v>
      </c>
      <c r="D5" s="147"/>
      <c r="E5" s="147"/>
      <c r="F5" s="147"/>
      <c r="G5" s="147"/>
      <c r="H5" s="147"/>
      <c r="I5" s="147"/>
      <c r="J5" s="147"/>
      <c r="K5" s="147"/>
    </row>
    <row r="6" spans="1:11" x14ac:dyDescent="0.2">
      <c r="A6" s="150" t="s">
        <v>57</v>
      </c>
      <c r="B6" s="145" t="s">
        <v>55</v>
      </c>
      <c r="C6" s="148">
        <v>100.2</v>
      </c>
      <c r="D6" s="148">
        <v>100</v>
      </c>
      <c r="E6" s="148">
        <v>100.2</v>
      </c>
      <c r="F6" s="148">
        <v>99.9</v>
      </c>
      <c r="G6" s="148">
        <v>99.8</v>
      </c>
      <c r="H6" s="148">
        <v>100</v>
      </c>
      <c r="I6" s="148">
        <v>100.1</v>
      </c>
      <c r="J6" s="148">
        <v>100</v>
      </c>
      <c r="K6" s="148">
        <v>100</v>
      </c>
    </row>
    <row r="7" spans="1:11" x14ac:dyDescent="0.2">
      <c r="A7" s="145" t="s">
        <v>58</v>
      </c>
      <c r="B7" s="145" t="s">
        <v>54</v>
      </c>
      <c r="C7" s="147">
        <f>+C5/C6</f>
        <v>0.98902195608782428</v>
      </c>
      <c r="D7" s="149">
        <f t="shared" ref="D7:J7" si="0">+$C7*D6</f>
        <v>98.902195608782435</v>
      </c>
      <c r="E7" s="149">
        <f t="shared" si="0"/>
        <v>99.1</v>
      </c>
      <c r="F7" s="149">
        <f t="shared" si="0"/>
        <v>98.803293413173648</v>
      </c>
      <c r="G7" s="149">
        <f t="shared" si="0"/>
        <v>98.704391217564861</v>
      </c>
      <c r="H7" s="149">
        <f t="shared" si="0"/>
        <v>98.902195608782435</v>
      </c>
      <c r="I7" s="149">
        <f t="shared" si="0"/>
        <v>99.001097804391208</v>
      </c>
      <c r="J7" s="149">
        <f t="shared" si="0"/>
        <v>98.902195608782435</v>
      </c>
      <c r="K7" s="149">
        <f>+$C7*K6</f>
        <v>98.902195608782435</v>
      </c>
    </row>
  </sheetData>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10</vt:i4>
      </vt:variant>
    </vt:vector>
  </HeadingPairs>
  <TitlesOfParts>
    <vt:vector size="15"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2025-06-16T13:54:48Z</cp:lastPrinted>
  <dcterms:created xsi:type="dcterms:W3CDTF">2009-05-19T06:17:18Z</dcterms:created>
  <dcterms:modified xsi:type="dcterms:W3CDTF">2025-06-16T13:54:54Z</dcterms:modified>
</cp:coreProperties>
</file>