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OKO-faelles$\Entreprenører\Beregning af indeks til entreprenørafregninger\Månedlig indeks\Til Hjemmeside\SBLON Vest\"/>
    </mc:Choice>
  </mc:AlternateContent>
  <xr:revisionPtr revIDLastSave="0" documentId="13_ncr:1_{6F410B9E-71FA-47C9-9E4B-8D95289E3D6D}" xr6:coauthVersionLast="47" xr6:coauthVersionMax="47" xr10:uidLastSave="{00000000-0000-0000-0000-000000000000}"/>
  <bookViews>
    <workbookView xWindow="-120" yWindow="-120" windowWidth="29040" windowHeight="15720" xr2:uid="{7A0A658E-D606-43F2-9F2A-6E3D71A1A10B}"/>
  </bookViews>
  <sheets>
    <sheet name="Indeks" sheetId="1" r:id="rId1"/>
    <sheet name="Reelle vægte" sheetId="2" r:id="rId2"/>
    <sheet name="Udvikling i indeks" sheetId="5" r:id="rId3"/>
    <sheet name="Kilder og dokumentation" sheetId="4" r:id="rId4"/>
    <sheet name="Note pris 10" sheetId="6" state="hidden" r:id="rId5"/>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0">Indeks!$A$1:$J$276</definedName>
    <definedName name="_xlnm.Print_Area" localSheetId="3">'Kilder og dokumentation'!$A$1:$F$51</definedName>
    <definedName name="_xlnm.Print_Area" localSheetId="4">'Note pris 10'!$A$2:$K$7</definedName>
    <definedName name="_xlnm.Print_Area" localSheetId="1">'Reelle vægte'!$A$1:$H$267</definedName>
    <definedName name="_xlnm.Print_Area" localSheetId="2">'Udvikling i indeks'!$A$1:$H$266</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0" i="1" l="1"/>
  <c r="E250" i="1"/>
  <c r="D250" i="1"/>
  <c r="C252" i="1"/>
  <c r="C251" i="1"/>
  <c r="C250" i="1"/>
  <c r="F249" i="1"/>
  <c r="E249" i="1"/>
  <c r="D249" i="1"/>
  <c r="H249" i="1"/>
  <c r="H250" i="1" l="1"/>
  <c r="F248" i="1"/>
  <c r="E248" i="1"/>
  <c r="D248" i="1"/>
  <c r="F247" i="1"/>
  <c r="E247" i="1"/>
  <c r="D247" i="1"/>
  <c r="H247" i="1"/>
  <c r="C249" i="1"/>
  <c r="C248" i="1"/>
  <c r="C247" i="1"/>
  <c r="C246" i="1"/>
  <c r="C245" i="1"/>
  <c r="C244" i="1"/>
  <c r="F173" i="1"/>
  <c r="F179" i="1" s="1"/>
  <c r="E246" i="1"/>
  <c r="D246" i="1"/>
  <c r="E245" i="1"/>
  <c r="D245" i="1"/>
  <c r="E244" i="1"/>
  <c r="D244" i="1"/>
  <c r="A256" i="5"/>
  <c r="A257" i="5" s="1"/>
  <c r="A258" i="5" s="1"/>
  <c r="A259" i="5" s="1"/>
  <c r="A260" i="5" s="1"/>
  <c r="A261" i="5" s="1"/>
  <c r="A262" i="5" s="1"/>
  <c r="A263" i="5" s="1"/>
  <c r="A264" i="5" s="1"/>
  <c r="A265" i="5" s="1"/>
  <c r="A266" i="5" s="1"/>
  <c r="A257" i="2"/>
  <c r="A258" i="2"/>
  <c r="A259" i="2"/>
  <c r="A260" i="2" s="1"/>
  <c r="A261" i="2" s="1"/>
  <c r="A262" i="2" s="1"/>
  <c r="A263" i="2" s="1"/>
  <c r="A264" i="2" s="1"/>
  <c r="A265" i="2" s="1"/>
  <c r="A266" i="2" s="1"/>
  <c r="A267" i="2" s="1"/>
  <c r="E243" i="1"/>
  <c r="D243" i="1"/>
  <c r="D242" i="1"/>
  <c r="E242" i="1"/>
  <c r="E241" i="1"/>
  <c r="D241" i="1"/>
  <c r="C243" i="1"/>
  <c r="C242" i="1"/>
  <c r="C241" i="1"/>
  <c r="E240" i="1"/>
  <c r="D240" i="1"/>
  <c r="D239" i="1"/>
  <c r="E239" i="1"/>
  <c r="C239" i="1"/>
  <c r="D238" i="1"/>
  <c r="C240" i="1"/>
  <c r="C238" i="1"/>
  <c r="E238" i="1"/>
  <c r="D237" i="1"/>
  <c r="E237" i="1"/>
  <c r="C237" i="1"/>
  <c r="D236" i="1"/>
  <c r="E236" i="1"/>
  <c r="E235" i="1"/>
  <c r="D235" i="1"/>
  <c r="C236" i="1"/>
  <c r="C235" i="1"/>
  <c r="D234" i="1"/>
  <c r="E234" i="1"/>
  <c r="E233" i="1"/>
  <c r="D233" i="1"/>
  <c r="E232" i="1"/>
  <c r="D232" i="1"/>
  <c r="C234" i="1"/>
  <c r="C233" i="1"/>
  <c r="C232" i="1"/>
  <c r="A244" i="5"/>
  <c r="A245" i="5" s="1"/>
  <c r="A246" i="5" s="1"/>
  <c r="A247" i="5" s="1"/>
  <c r="A248" i="5" s="1"/>
  <c r="A249" i="5" s="1"/>
  <c r="A250" i="5" s="1"/>
  <c r="A251" i="5" s="1"/>
  <c r="A252" i="5" s="1"/>
  <c r="A253" i="5" s="1"/>
  <c r="A254" i="5"/>
  <c r="A245" i="2"/>
  <c r="A246" i="2" s="1"/>
  <c r="A247" i="2" s="1"/>
  <c r="A248" i="2" s="1"/>
  <c r="A249" i="2" s="1"/>
  <c r="A250" i="2" s="1"/>
  <c r="A251" i="2" s="1"/>
  <c r="A252" i="2" s="1"/>
  <c r="A253" i="2" s="1"/>
  <c r="A254" i="2" s="1"/>
  <c r="A255" i="2" s="1"/>
  <c r="D231" i="1"/>
  <c r="E231" i="1"/>
  <c r="E230" i="1"/>
  <c r="D230" i="1"/>
  <c r="D229" i="1"/>
  <c r="C231" i="1"/>
  <c r="C230" i="1"/>
  <c r="C229" i="1"/>
  <c r="E229" i="1"/>
  <c r="E228" i="1"/>
  <c r="D228" i="1"/>
  <c r="E227" i="1"/>
  <c r="D227" i="1"/>
  <c r="E226" i="1"/>
  <c r="D226" i="1"/>
  <c r="C228" i="1"/>
  <c r="C227" i="1"/>
  <c r="C226" i="1"/>
  <c r="D225" i="1"/>
  <c r="E225" i="1"/>
  <c r="C225" i="1"/>
  <c r="A233" i="1"/>
  <c r="A234" i="1"/>
  <c r="A235" i="1"/>
  <c r="A236" i="1" s="1"/>
  <c r="A237" i="1" s="1"/>
  <c r="A238" i="1" s="1"/>
  <c r="A239" i="1" s="1"/>
  <c r="A240" i="1" s="1"/>
  <c r="A241" i="1" s="1"/>
  <c r="A242" i="1"/>
  <c r="A243" i="1"/>
  <c r="A221" i="1"/>
  <c r="A222" i="1" s="1"/>
  <c r="A223" i="1" s="1"/>
  <c r="A224" i="1" s="1"/>
  <c r="A225" i="1" s="1"/>
  <c r="A226" i="1" s="1"/>
  <c r="A227" i="1" s="1"/>
  <c r="A228" i="1" s="1"/>
  <c r="A229" i="1" s="1"/>
  <c r="A230" i="1" s="1"/>
  <c r="A231" i="1" s="1"/>
  <c r="E224" i="1"/>
  <c r="D224" i="1"/>
  <c r="E223" i="1"/>
  <c r="D223" i="1"/>
  <c r="C224" i="1"/>
  <c r="C223" i="1"/>
  <c r="E222" i="1"/>
  <c r="D222" i="1"/>
  <c r="E221" i="1"/>
  <c r="D221" i="1"/>
  <c r="E220" i="1"/>
  <c r="D220" i="1"/>
  <c r="C222" i="1"/>
  <c r="C221" i="1"/>
  <c r="C220" i="1"/>
  <c r="A232" i="5"/>
  <c r="A233" i="5" s="1"/>
  <c r="A234" i="5" s="1"/>
  <c r="A235" i="5" s="1"/>
  <c r="A236" i="5" s="1"/>
  <c r="A237" i="5" s="1"/>
  <c r="A238" i="5" s="1"/>
  <c r="A239" i="5" s="1"/>
  <c r="A240" i="5" s="1"/>
  <c r="A241" i="5" s="1"/>
  <c r="A242" i="5" s="1"/>
  <c r="A233" i="2"/>
  <c r="A234" i="2"/>
  <c r="A235" i="2" s="1"/>
  <c r="A236" i="2"/>
  <c r="A237" i="2" s="1"/>
  <c r="A238" i="2" s="1"/>
  <c r="A239" i="2" s="1"/>
  <c r="A240" i="2" s="1"/>
  <c r="A241" i="2" s="1"/>
  <c r="A242" i="2" s="1"/>
  <c r="A243" i="2" s="1"/>
  <c r="E219" i="1"/>
  <c r="D219" i="1"/>
  <c r="C219" i="1"/>
  <c r="C218" i="1"/>
  <c r="E218" i="1"/>
  <c r="D218" i="1"/>
  <c r="D217" i="1"/>
  <c r="C217" i="1"/>
  <c r="E217" i="1"/>
  <c r="E216" i="1"/>
  <c r="D216" i="1"/>
  <c r="C216" i="1"/>
  <c r="E215" i="1"/>
  <c r="D215" i="1"/>
  <c r="H30" i="1"/>
  <c r="E30" i="2" s="1"/>
  <c r="E214" i="1"/>
  <c r="D214" i="1"/>
  <c r="C215" i="1"/>
  <c r="C214" i="1"/>
  <c r="D213" i="1"/>
  <c r="E213" i="1"/>
  <c r="E212" i="1"/>
  <c r="D212" i="1"/>
  <c r="C212" i="1"/>
  <c r="C213" i="1"/>
  <c r="D211" i="1"/>
  <c r="E211" i="1"/>
  <c r="C211" i="1"/>
  <c r="E210" i="1"/>
  <c r="D210" i="1"/>
  <c r="E209" i="1"/>
  <c r="D209" i="1"/>
  <c r="C209" i="1"/>
  <c r="A220" i="5"/>
  <c r="A221" i="5"/>
  <c r="A222" i="5" s="1"/>
  <c r="A223" i="5" s="1"/>
  <c r="A224" i="5" s="1"/>
  <c r="A225" i="5" s="1"/>
  <c r="A226" i="5" s="1"/>
  <c r="A227" i="5" s="1"/>
  <c r="A228" i="5" s="1"/>
  <c r="A229" i="5" s="1"/>
  <c r="A230" i="5" s="1"/>
  <c r="A221" i="2"/>
  <c r="A222" i="2"/>
  <c r="A223" i="2" s="1"/>
  <c r="A224" i="2" s="1"/>
  <c r="A225" i="2" s="1"/>
  <c r="A226" i="2" s="1"/>
  <c r="A227" i="2" s="1"/>
  <c r="A228" i="2" s="1"/>
  <c r="A229" i="2" s="1"/>
  <c r="A230" i="2" s="1"/>
  <c r="A231" i="2" s="1"/>
  <c r="C210" i="1"/>
  <c r="E208" i="1"/>
  <c r="D208" i="1"/>
  <c r="C208" i="1"/>
  <c r="E207" i="1"/>
  <c r="D207" i="1"/>
  <c r="E206" i="1"/>
  <c r="D206" i="1"/>
  <c r="H206" i="1" s="1"/>
  <c r="E205" i="1"/>
  <c r="D205" i="1"/>
  <c r="C207" i="1"/>
  <c r="C206" i="1"/>
  <c r="C201" i="1"/>
  <c r="C205" i="1"/>
  <c r="E204" i="1"/>
  <c r="D204" i="1"/>
  <c r="E203" i="1"/>
  <c r="D203" i="1"/>
  <c r="C204" i="1"/>
  <c r="C203" i="1"/>
  <c r="E202" i="1"/>
  <c r="D202" i="1"/>
  <c r="H202" i="1" s="1"/>
  <c r="C202" i="1"/>
  <c r="E201" i="1"/>
  <c r="D201" i="1"/>
  <c r="E200" i="1"/>
  <c r="D200" i="1"/>
  <c r="E199" i="1"/>
  <c r="D199" i="1"/>
  <c r="C200" i="1"/>
  <c r="C199" i="1"/>
  <c r="E198" i="1"/>
  <c r="D198" i="1"/>
  <c r="E197" i="1"/>
  <c r="D197" i="1"/>
  <c r="E196" i="1"/>
  <c r="D196" i="1"/>
  <c r="C198" i="1"/>
  <c r="C197" i="1"/>
  <c r="C196" i="1"/>
  <c r="A208" i="5"/>
  <c r="A209" i="5"/>
  <c r="A210" i="5" s="1"/>
  <c r="A211" i="5" s="1"/>
  <c r="A212" i="5" s="1"/>
  <c r="A213" i="5" s="1"/>
  <c r="A214" i="5" s="1"/>
  <c r="A215" i="5" s="1"/>
  <c r="A216" i="5"/>
  <c r="A217" i="5"/>
  <c r="A218" i="5" s="1"/>
  <c r="A209" i="2"/>
  <c r="A210" i="2" s="1"/>
  <c r="A211" i="2" s="1"/>
  <c r="A212" i="2" s="1"/>
  <c r="A213" i="2" s="1"/>
  <c r="A214" i="2" s="1"/>
  <c r="A215" i="2" s="1"/>
  <c r="A216" i="2" s="1"/>
  <c r="A217" i="2" s="1"/>
  <c r="A218" i="2" s="1"/>
  <c r="A219" i="2" s="1"/>
  <c r="A209" i="1"/>
  <c r="A210" i="1" s="1"/>
  <c r="A211" i="1" s="1"/>
  <c r="A212" i="1" s="1"/>
  <c r="A213" i="1" s="1"/>
  <c r="A214" i="1" s="1"/>
  <c r="A215" i="1" s="1"/>
  <c r="A216" i="1" s="1"/>
  <c r="A217" i="1" s="1"/>
  <c r="A218" i="1" s="1"/>
  <c r="A219" i="1" s="1"/>
  <c r="E195" i="1"/>
  <c r="D195" i="1"/>
  <c r="E194" i="1"/>
  <c r="D194" i="1"/>
  <c r="E193" i="1"/>
  <c r="D193" i="1"/>
  <c r="C195" i="1"/>
  <c r="C194" i="1"/>
  <c r="C193" i="1"/>
  <c r="E192" i="1"/>
  <c r="D192" i="1"/>
  <c r="E191" i="1"/>
  <c r="D191" i="1"/>
  <c r="E190" i="1"/>
  <c r="D190" i="1"/>
  <c r="C192" i="1"/>
  <c r="C191" i="1"/>
  <c r="C190" i="1"/>
  <c r="E189" i="1"/>
  <c r="D189" i="1"/>
  <c r="E188" i="1"/>
  <c r="D188" i="1"/>
  <c r="E187" i="1"/>
  <c r="D187" i="1"/>
  <c r="C189" i="1"/>
  <c r="C188" i="1"/>
  <c r="C187" i="1"/>
  <c r="E186" i="1"/>
  <c r="D186" i="1"/>
  <c r="E185" i="1"/>
  <c r="D185" i="1"/>
  <c r="E184" i="1"/>
  <c r="D184" i="1"/>
  <c r="C186" i="1"/>
  <c r="C185" i="1"/>
  <c r="C184" i="1"/>
  <c r="A196" i="5"/>
  <c r="A197" i="5"/>
  <c r="A198" i="5"/>
  <c r="A199" i="5" s="1"/>
  <c r="A200" i="5" s="1"/>
  <c r="A201" i="5" s="1"/>
  <c r="A202" i="5" s="1"/>
  <c r="A203" i="5" s="1"/>
  <c r="A204" i="5" s="1"/>
  <c r="A205" i="5"/>
  <c r="A206" i="5" s="1"/>
  <c r="A197" i="2"/>
  <c r="A198" i="2" s="1"/>
  <c r="A199" i="2" s="1"/>
  <c r="A200" i="2" s="1"/>
  <c r="A201" i="2" s="1"/>
  <c r="A202" i="2" s="1"/>
  <c r="A203" i="2" s="1"/>
  <c r="A204" i="2" s="1"/>
  <c r="A205" i="2" s="1"/>
  <c r="A206" i="2" s="1"/>
  <c r="A207" i="2" s="1"/>
  <c r="A197" i="1"/>
  <c r="A198" i="1"/>
  <c r="A199" i="1"/>
  <c r="A200" i="1"/>
  <c r="A201" i="1" s="1"/>
  <c r="A202" i="1" s="1"/>
  <c r="A203" i="1" s="1"/>
  <c r="A204" i="1" s="1"/>
  <c r="A205" i="1" s="1"/>
  <c r="A206" i="1" s="1"/>
  <c r="A207" i="1" s="1"/>
  <c r="E183" i="1"/>
  <c r="D183" i="1"/>
  <c r="E182" i="1"/>
  <c r="D182" i="1"/>
  <c r="E181" i="1"/>
  <c r="D181" i="1"/>
  <c r="C183" i="1"/>
  <c r="H183" i="1" s="1"/>
  <c r="C182" i="1"/>
  <c r="C181" i="1"/>
  <c r="E180" i="1"/>
  <c r="D180" i="1"/>
  <c r="E179" i="1"/>
  <c r="D179" i="1"/>
  <c r="E178" i="1"/>
  <c r="D178" i="1"/>
  <c r="C180" i="1"/>
  <c r="C179" i="1"/>
  <c r="C178" i="1"/>
  <c r="E177" i="1"/>
  <c r="D177" i="1"/>
  <c r="E176" i="1"/>
  <c r="E176" i="2" s="1"/>
  <c r="D176" i="1"/>
  <c r="C177" i="1"/>
  <c r="C176" i="1"/>
  <c r="E175" i="1"/>
  <c r="D175" i="1"/>
  <c r="C175" i="1"/>
  <c r="E174" i="1"/>
  <c r="D174" i="1"/>
  <c r="A160" i="5"/>
  <c r="A161" i="5"/>
  <c r="A162" i="5" s="1"/>
  <c r="A163" i="5"/>
  <c r="A164" i="5" s="1"/>
  <c r="A165" i="5" s="1"/>
  <c r="A166" i="5" s="1"/>
  <c r="A167" i="5" s="1"/>
  <c r="A168" i="5" s="1"/>
  <c r="A169" i="5" s="1"/>
  <c r="A170" i="5" s="1"/>
  <c r="E173" i="1"/>
  <c r="D173" i="1"/>
  <c r="C174" i="1"/>
  <c r="C173" i="1"/>
  <c r="F172" i="1"/>
  <c r="E172" i="1"/>
  <c r="D172" i="1"/>
  <c r="H172" i="1" s="1"/>
  <c r="C172" i="1"/>
  <c r="A184" i="5"/>
  <c r="A185" i="5" s="1"/>
  <c r="A186" i="5" s="1"/>
  <c r="A187" i="5" s="1"/>
  <c r="A188" i="5" s="1"/>
  <c r="A189" i="5" s="1"/>
  <c r="A190" i="5" s="1"/>
  <c r="A191" i="5" s="1"/>
  <c r="A192" i="5" s="1"/>
  <c r="A193" i="5" s="1"/>
  <c r="A194" i="5" s="1"/>
  <c r="A185" i="2"/>
  <c r="A186" i="2"/>
  <c r="A187" i="2" s="1"/>
  <c r="A188" i="2" s="1"/>
  <c r="A189" i="2" s="1"/>
  <c r="A190" i="2" s="1"/>
  <c r="A191" i="2" s="1"/>
  <c r="A192" i="2" s="1"/>
  <c r="A193" i="2" s="1"/>
  <c r="A194" i="2" s="1"/>
  <c r="A195" i="2" s="1"/>
  <c r="A185" i="1"/>
  <c r="A186" i="1" s="1"/>
  <c r="A187" i="1" s="1"/>
  <c r="A188" i="1" s="1"/>
  <c r="A189" i="1" s="1"/>
  <c r="A190" i="1" s="1"/>
  <c r="A191" i="1" s="1"/>
  <c r="A192" i="1" s="1"/>
  <c r="A193" i="1" s="1"/>
  <c r="A194" i="1" s="1"/>
  <c r="A195" i="1" s="1"/>
  <c r="F171" i="1"/>
  <c r="E171" i="1"/>
  <c r="H171" i="1" s="1"/>
  <c r="F171" i="2" s="1"/>
  <c r="D171" i="1"/>
  <c r="F170" i="1"/>
  <c r="E170" i="1"/>
  <c r="D170" i="1"/>
  <c r="F169" i="1"/>
  <c r="E169" i="1"/>
  <c r="D169" i="1"/>
  <c r="C171" i="1"/>
  <c r="C170" i="1"/>
  <c r="C169" i="1"/>
  <c r="F168" i="1"/>
  <c r="E168" i="1"/>
  <c r="D168" i="1"/>
  <c r="F167" i="1"/>
  <c r="E167" i="1"/>
  <c r="D167" i="1"/>
  <c r="C168" i="1"/>
  <c r="C167" i="1"/>
  <c r="F166" i="1"/>
  <c r="E166" i="1"/>
  <c r="D166" i="1"/>
  <c r="C166" i="1"/>
  <c r="H166" i="1" s="1"/>
  <c r="E166" i="2" s="1"/>
  <c r="F165" i="1"/>
  <c r="H165" i="1"/>
  <c r="E165" i="1"/>
  <c r="D165" i="1"/>
  <c r="F164" i="1"/>
  <c r="E164" i="1"/>
  <c r="D164" i="1"/>
  <c r="H164" i="1"/>
  <c r="C163" i="5" s="1"/>
  <c r="D163" i="5" s="1"/>
  <c r="F163" i="1"/>
  <c r="H163" i="1"/>
  <c r="G163" i="2" s="1"/>
  <c r="E163" i="1"/>
  <c r="D163" i="1"/>
  <c r="C165" i="1"/>
  <c r="C164" i="1"/>
  <c r="C163" i="1"/>
  <c r="F162" i="1"/>
  <c r="E162" i="1"/>
  <c r="H162" i="1" s="1"/>
  <c r="D162" i="2" s="1"/>
  <c r="D162" i="1"/>
  <c r="F161" i="1"/>
  <c r="E161" i="1"/>
  <c r="D161" i="1"/>
  <c r="F160" i="1"/>
  <c r="E160" i="1"/>
  <c r="D160" i="1"/>
  <c r="C162" i="1"/>
  <c r="C161" i="1"/>
  <c r="H161" i="1" s="1"/>
  <c r="C160" i="1"/>
  <c r="H75" i="1"/>
  <c r="F75" i="2" s="1"/>
  <c r="H74" i="1"/>
  <c r="C73" i="5" s="1"/>
  <c r="H73" i="1"/>
  <c r="H72" i="1"/>
  <c r="H71" i="1"/>
  <c r="F71" i="2" s="1"/>
  <c r="H70" i="1"/>
  <c r="H69" i="1"/>
  <c r="F69" i="2"/>
  <c r="H68" i="1"/>
  <c r="H67" i="1"/>
  <c r="F67" i="2" s="1"/>
  <c r="H66" i="1"/>
  <c r="C66" i="2" s="1"/>
  <c r="H65" i="1"/>
  <c r="G65" i="2" s="1"/>
  <c r="H64" i="1"/>
  <c r="F64" i="2" s="1"/>
  <c r="A65" i="1"/>
  <c r="A66" i="1" s="1"/>
  <c r="A67" i="1" s="1"/>
  <c r="A68" i="1" s="1"/>
  <c r="A69" i="1" s="1"/>
  <c r="A70" i="1" s="1"/>
  <c r="A71" i="1" s="1"/>
  <c r="A72" i="1" s="1"/>
  <c r="A73" i="1" s="1"/>
  <c r="A74" i="1" s="1"/>
  <c r="A75" i="1" s="1"/>
  <c r="A172" i="5"/>
  <c r="A173" i="5" s="1"/>
  <c r="A174" i="5" s="1"/>
  <c r="A175" i="5" s="1"/>
  <c r="A176" i="5" s="1"/>
  <c r="A177" i="5" s="1"/>
  <c r="A178" i="5" s="1"/>
  <c r="A179" i="5" s="1"/>
  <c r="A180" i="5" s="1"/>
  <c r="A181" i="5" s="1"/>
  <c r="A182" i="5" s="1"/>
  <c r="A173" i="2"/>
  <c r="A174" i="2" s="1"/>
  <c r="A175" i="2"/>
  <c r="A176" i="2"/>
  <c r="A177" i="2" s="1"/>
  <c r="A178" i="2" s="1"/>
  <c r="A179" i="2" s="1"/>
  <c r="A180" i="2" s="1"/>
  <c r="A181" i="2" s="1"/>
  <c r="A182" i="2" s="1"/>
  <c r="A183" i="2" s="1"/>
  <c r="C159" i="1"/>
  <c r="D159" i="1"/>
  <c r="H159" i="1" s="1"/>
  <c r="E159" i="1"/>
  <c r="F159" i="1"/>
  <c r="F159" i="2" s="1"/>
  <c r="A173" i="1"/>
  <c r="A174" i="1"/>
  <c r="A175" i="1"/>
  <c r="A176" i="1" s="1"/>
  <c r="A177" i="1" s="1"/>
  <c r="A178" i="1" s="1"/>
  <c r="A179" i="1" s="1"/>
  <c r="A180" i="1" s="1"/>
  <c r="A181" i="1" s="1"/>
  <c r="A182" i="1" s="1"/>
  <c r="A183" i="1" s="1"/>
  <c r="F158" i="1"/>
  <c r="E158" i="1"/>
  <c r="D158" i="1"/>
  <c r="C157" i="1"/>
  <c r="F157" i="1"/>
  <c r="E157" i="1"/>
  <c r="D157" i="1"/>
  <c r="C158" i="1"/>
  <c r="F156" i="1"/>
  <c r="C156" i="2"/>
  <c r="E156" i="1"/>
  <c r="D156" i="1"/>
  <c r="F155" i="1"/>
  <c r="E155" i="1"/>
  <c r="D155" i="1"/>
  <c r="D154" i="1"/>
  <c r="F154" i="1"/>
  <c r="E154" i="1"/>
  <c r="C156" i="1"/>
  <c r="H156" i="1" s="1"/>
  <c r="C155" i="1"/>
  <c r="C154" i="1"/>
  <c r="C153" i="1"/>
  <c r="D153" i="1"/>
  <c r="E153" i="1"/>
  <c r="F153" i="1"/>
  <c r="G154" i="1"/>
  <c r="A161" i="1"/>
  <c r="A162" i="1" s="1"/>
  <c r="A163" i="1" s="1"/>
  <c r="A164" i="1" s="1"/>
  <c r="A165" i="1" s="1"/>
  <c r="A166" i="1" s="1"/>
  <c r="A167" i="1" s="1"/>
  <c r="A168" i="1" s="1"/>
  <c r="A169" i="1" s="1"/>
  <c r="A170" i="1" s="1"/>
  <c r="A171" i="1" s="1"/>
  <c r="F152" i="1"/>
  <c r="E152" i="1"/>
  <c r="D152" i="1"/>
  <c r="D151" i="1"/>
  <c r="C152" i="1"/>
  <c r="C151" i="1"/>
  <c r="F151" i="1"/>
  <c r="E151" i="1"/>
  <c r="H151" i="1" s="1"/>
  <c r="F150" i="1"/>
  <c r="E150" i="1"/>
  <c r="D150" i="1"/>
  <c r="F149" i="1"/>
  <c r="E149" i="1"/>
  <c r="D149" i="1"/>
  <c r="E148" i="1"/>
  <c r="D148" i="1"/>
  <c r="C148" i="1"/>
  <c r="F148" i="1"/>
  <c r="F147" i="1"/>
  <c r="E147" i="1"/>
  <c r="D147" i="1"/>
  <c r="C147" i="1"/>
  <c r="A161" i="2"/>
  <c r="A162" i="2" s="1"/>
  <c r="A163" i="2" s="1"/>
  <c r="A164" i="2" s="1"/>
  <c r="A165" i="2" s="1"/>
  <c r="A166" i="2"/>
  <c r="A167" i="2" s="1"/>
  <c r="A168" i="2" s="1"/>
  <c r="A169" i="2" s="1"/>
  <c r="A170" i="2" s="1"/>
  <c r="A171" i="2" s="1"/>
  <c r="C146" i="1"/>
  <c r="D146" i="1"/>
  <c r="E146" i="1"/>
  <c r="E146" i="2" s="1"/>
  <c r="F146" i="1"/>
  <c r="F145" i="1"/>
  <c r="E145" i="1"/>
  <c r="D145" i="1"/>
  <c r="C145" i="1"/>
  <c r="F144" i="1"/>
  <c r="E144" i="1"/>
  <c r="D144" i="1"/>
  <c r="F143" i="1"/>
  <c r="E143" i="1"/>
  <c r="D143" i="1"/>
  <c r="H143" i="1" s="1"/>
  <c r="F142" i="1"/>
  <c r="E142" i="1"/>
  <c r="D142" i="1"/>
  <c r="C144" i="1"/>
  <c r="C143" i="1"/>
  <c r="C142" i="1"/>
  <c r="F141" i="1"/>
  <c r="E141" i="1"/>
  <c r="D141" i="1"/>
  <c r="F140" i="1"/>
  <c r="E140" i="1"/>
  <c r="D140" i="1"/>
  <c r="H140" i="1" s="1"/>
  <c r="E140" i="2" s="1"/>
  <c r="F139" i="1"/>
  <c r="E139" i="1"/>
  <c r="D139" i="1"/>
  <c r="C141" i="1"/>
  <c r="C140" i="1"/>
  <c r="C139" i="1"/>
  <c r="C138" i="1"/>
  <c r="C7" i="6"/>
  <c r="H7" i="6" s="1"/>
  <c r="F7" i="6"/>
  <c r="E5" i="4"/>
  <c r="E6" i="4"/>
  <c r="E8" i="4"/>
  <c r="E10" i="4"/>
  <c r="E11" i="4"/>
  <c r="A4" i="5"/>
  <c r="A5" i="5" s="1"/>
  <c r="A6" i="5" s="1"/>
  <c r="A7" i="5" s="1"/>
  <c r="A8" i="5"/>
  <c r="A9" i="5" s="1"/>
  <c r="A10" i="5" s="1"/>
  <c r="A11" i="5"/>
  <c r="A12" i="5" s="1"/>
  <c r="A13" i="5" s="1"/>
  <c r="A14" i="5" s="1"/>
  <c r="D9" i="5"/>
  <c r="F14" i="5"/>
  <c r="G14" i="5"/>
  <c r="A16" i="5"/>
  <c r="A17" i="5" s="1"/>
  <c r="A18" i="5" s="1"/>
  <c r="A19" i="5" s="1"/>
  <c r="A20" i="5"/>
  <c r="A21" i="5" s="1"/>
  <c r="A22" i="5" s="1"/>
  <c r="A23" i="5" s="1"/>
  <c r="A24" i="5" s="1"/>
  <c r="A25" i="5" s="1"/>
  <c r="A26" i="5" s="1"/>
  <c r="G26" i="5"/>
  <c r="A28" i="5"/>
  <c r="A29" i="5" s="1"/>
  <c r="A30" i="5" s="1"/>
  <c r="A31" i="5" s="1"/>
  <c r="A32" i="5" s="1"/>
  <c r="A33" i="5" s="1"/>
  <c r="A34" i="5" s="1"/>
  <c r="A35" i="5" s="1"/>
  <c r="A36" i="5" s="1"/>
  <c r="A37" i="5" s="1"/>
  <c r="A38" i="5" s="1"/>
  <c r="A40" i="5"/>
  <c r="A41" i="5" s="1"/>
  <c r="A42" i="5"/>
  <c r="A43" i="5"/>
  <c r="A44" i="5" s="1"/>
  <c r="A45" i="5" s="1"/>
  <c r="A46" i="5" s="1"/>
  <c r="A47" i="5" s="1"/>
  <c r="A48" i="5" s="1"/>
  <c r="A49" i="5" s="1"/>
  <c r="A50" i="5" s="1"/>
  <c r="A52" i="5"/>
  <c r="A53" i="5"/>
  <c r="A54" i="5" s="1"/>
  <c r="A55" i="5" s="1"/>
  <c r="A56" i="5" s="1"/>
  <c r="A57" i="5"/>
  <c r="A58" i="5" s="1"/>
  <c r="A59" i="5" s="1"/>
  <c r="A60" i="5" s="1"/>
  <c r="A61" i="5" s="1"/>
  <c r="A62" i="5" s="1"/>
  <c r="A64" i="5"/>
  <c r="A65" i="5"/>
  <c r="A66" i="5" s="1"/>
  <c r="A67" i="5" s="1"/>
  <c r="A68" i="5" s="1"/>
  <c r="A69" i="5" s="1"/>
  <c r="A70" i="5" s="1"/>
  <c r="A71" i="5" s="1"/>
  <c r="A72" i="5" s="1"/>
  <c r="A73" i="5" s="1"/>
  <c r="A74" i="5" s="1"/>
  <c r="A76" i="5"/>
  <c r="A77" i="5" s="1"/>
  <c r="A78" i="5" s="1"/>
  <c r="A79" i="5" s="1"/>
  <c r="A80" i="5" s="1"/>
  <c r="A81" i="5" s="1"/>
  <c r="A82" i="5" s="1"/>
  <c r="A83" i="5" s="1"/>
  <c r="A84" i="5" s="1"/>
  <c r="A85" i="5" s="1"/>
  <c r="A86" i="5" s="1"/>
  <c r="A88" i="5"/>
  <c r="A89" i="5"/>
  <c r="A90" i="5"/>
  <c r="A91" i="5" s="1"/>
  <c r="A92" i="5" s="1"/>
  <c r="A93" i="5" s="1"/>
  <c r="A94" i="5" s="1"/>
  <c r="A95" i="5" s="1"/>
  <c r="A96" i="5" s="1"/>
  <c r="A97" i="5" s="1"/>
  <c r="A98" i="5" s="1"/>
  <c r="A100" i="5"/>
  <c r="A101" i="5"/>
  <c r="A102" i="5" s="1"/>
  <c r="A103" i="5" s="1"/>
  <c r="A104" i="5"/>
  <c r="A105" i="5" s="1"/>
  <c r="A106" i="5" s="1"/>
  <c r="A107" i="5" s="1"/>
  <c r="A108" i="5" s="1"/>
  <c r="A109" i="5" s="1"/>
  <c r="A110" i="5" s="1"/>
  <c r="A112" i="5"/>
  <c r="A113" i="5" s="1"/>
  <c r="A114" i="5" s="1"/>
  <c r="A115" i="5" s="1"/>
  <c r="A116" i="5" s="1"/>
  <c r="A117" i="5" s="1"/>
  <c r="A118" i="5" s="1"/>
  <c r="A119" i="5" s="1"/>
  <c r="A120" i="5" s="1"/>
  <c r="A121" i="5" s="1"/>
  <c r="A122" i="5" s="1"/>
  <c r="A124" i="5"/>
  <c r="A125" i="5"/>
  <c r="A126" i="5"/>
  <c r="A127" i="5"/>
  <c r="A128" i="5" s="1"/>
  <c r="A129" i="5" s="1"/>
  <c r="A130" i="5" s="1"/>
  <c r="A131" i="5" s="1"/>
  <c r="A132" i="5" s="1"/>
  <c r="A133" i="5" s="1"/>
  <c r="A134" i="5" s="1"/>
  <c r="A136" i="5"/>
  <c r="A137" i="5" s="1"/>
  <c r="A138" i="5" s="1"/>
  <c r="A139" i="5" s="1"/>
  <c r="A140" i="5" s="1"/>
  <c r="A141" i="5"/>
  <c r="A142" i="5"/>
  <c r="A143" i="5" s="1"/>
  <c r="A144" i="5" s="1"/>
  <c r="A145" i="5" s="1"/>
  <c r="A146" i="5" s="1"/>
  <c r="A148" i="5"/>
  <c r="A149" i="5"/>
  <c r="A150" i="5"/>
  <c r="A151" i="5"/>
  <c r="A152" i="5" s="1"/>
  <c r="A153" i="5" s="1"/>
  <c r="A154" i="5" s="1"/>
  <c r="A155" i="5" s="1"/>
  <c r="A156" i="5" s="1"/>
  <c r="A157" i="5" s="1"/>
  <c r="A158" i="5" s="1"/>
  <c r="A41" i="2"/>
  <c r="A42" i="2" s="1"/>
  <c r="A43" i="2" s="1"/>
  <c r="A44" i="2" s="1"/>
  <c r="A45" i="2" s="1"/>
  <c r="A46" i="2" s="1"/>
  <c r="A47" i="2" s="1"/>
  <c r="A48" i="2" s="1"/>
  <c r="A49" i="2" s="1"/>
  <c r="A50" i="2" s="1"/>
  <c r="A51" i="2" s="1"/>
  <c r="A53" i="2"/>
  <c r="A54" i="2"/>
  <c r="A55" i="2" s="1"/>
  <c r="A56" i="2"/>
  <c r="A57" i="2" s="1"/>
  <c r="A58" i="2" s="1"/>
  <c r="A59" i="2" s="1"/>
  <c r="A60" i="2" s="1"/>
  <c r="A61" i="2" s="1"/>
  <c r="A62" i="2" s="1"/>
  <c r="A63" i="2" s="1"/>
  <c r="A65" i="2"/>
  <c r="A66" i="2" s="1"/>
  <c r="A67" i="2" s="1"/>
  <c r="A68" i="2" s="1"/>
  <c r="A69" i="2" s="1"/>
  <c r="A70" i="2" s="1"/>
  <c r="A71" i="2" s="1"/>
  <c r="A72" i="2" s="1"/>
  <c r="A73" i="2" s="1"/>
  <c r="A74" i="2" s="1"/>
  <c r="A75" i="2" s="1"/>
  <c r="A77" i="2"/>
  <c r="A78" i="2"/>
  <c r="A79" i="2" s="1"/>
  <c r="A80" i="2" s="1"/>
  <c r="A81" i="2" s="1"/>
  <c r="A82" i="2" s="1"/>
  <c r="A83" i="2" s="1"/>
  <c r="A84" i="2" s="1"/>
  <c r="A85" i="2" s="1"/>
  <c r="A86" i="2" s="1"/>
  <c r="A87" i="2" s="1"/>
  <c r="A89" i="2"/>
  <c r="A90" i="2" s="1"/>
  <c r="A91" i="2" s="1"/>
  <c r="A92" i="2" s="1"/>
  <c r="A93" i="2" s="1"/>
  <c r="A94" i="2" s="1"/>
  <c r="A95" i="2" s="1"/>
  <c r="A96" i="2" s="1"/>
  <c r="A97" i="2" s="1"/>
  <c r="A98" i="2" s="1"/>
  <c r="A99" i="2"/>
  <c r="A101" i="2"/>
  <c r="A102" i="2"/>
  <c r="A103" i="2" s="1"/>
  <c r="A104" i="2" s="1"/>
  <c r="A105" i="2" s="1"/>
  <c r="A106" i="2"/>
  <c r="A107" i="2" s="1"/>
  <c r="A108" i="2" s="1"/>
  <c r="A109" i="2" s="1"/>
  <c r="A110" i="2" s="1"/>
  <c r="A111" i="2" s="1"/>
  <c r="A113" i="2"/>
  <c r="A114" i="2"/>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c r="A139" i="2"/>
  <c r="A140" i="2" s="1"/>
  <c r="A141" i="2" s="1"/>
  <c r="A142" i="2" s="1"/>
  <c r="A143" i="2" s="1"/>
  <c r="A144" i="2" s="1"/>
  <c r="A145" i="2" s="1"/>
  <c r="A146" i="2" s="1"/>
  <c r="A147" i="2" s="1"/>
  <c r="A149" i="2"/>
  <c r="A150" i="2"/>
  <c r="A151" i="2" s="1"/>
  <c r="A152" i="2"/>
  <c r="A153" i="2"/>
  <c r="A154" i="2" s="1"/>
  <c r="A155" i="2" s="1"/>
  <c r="A156" i="2" s="1"/>
  <c r="A157" i="2" s="1"/>
  <c r="A158" i="2" s="1"/>
  <c r="A159" i="2" s="1"/>
  <c r="A5" i="1"/>
  <c r="A6" i="1" s="1"/>
  <c r="A7" i="1"/>
  <c r="A8" i="1" s="1"/>
  <c r="A9" i="1" s="1"/>
  <c r="A10" i="1" s="1"/>
  <c r="A11" i="1"/>
  <c r="A12" i="1" s="1"/>
  <c r="A13" i="1" s="1"/>
  <c r="A14" i="1" s="1"/>
  <c r="A15" i="1" s="1"/>
  <c r="I5" i="1"/>
  <c r="I6" i="1"/>
  <c r="I7" i="1"/>
  <c r="I8" i="1"/>
  <c r="I9" i="1"/>
  <c r="H10" i="1"/>
  <c r="H11" i="1"/>
  <c r="G11" i="2"/>
  <c r="H12" i="1"/>
  <c r="C11" i="5"/>
  <c r="H13" i="1"/>
  <c r="F13" i="2" s="1"/>
  <c r="H14" i="1"/>
  <c r="I15" i="1" s="1"/>
  <c r="H15" i="1"/>
  <c r="F15" i="2"/>
  <c r="H16" i="1"/>
  <c r="A17" i="1"/>
  <c r="A18" i="1"/>
  <c r="A19" i="1" s="1"/>
  <c r="A20" i="1" s="1"/>
  <c r="A21" i="1" s="1"/>
  <c r="A22" i="1"/>
  <c r="A23" i="1"/>
  <c r="A24" i="1" s="1"/>
  <c r="A25" i="1" s="1"/>
  <c r="A26" i="1" s="1"/>
  <c r="A27" i="1" s="1"/>
  <c r="H17" i="1"/>
  <c r="C16" i="5" s="1"/>
  <c r="H18" i="1"/>
  <c r="G18" i="2"/>
  <c r="H19" i="1"/>
  <c r="H20" i="1"/>
  <c r="F20" i="2" s="1"/>
  <c r="H21" i="1"/>
  <c r="D21" i="2" s="1"/>
  <c r="H22" i="1"/>
  <c r="C22" i="2" s="1"/>
  <c r="H23" i="1"/>
  <c r="G23" i="2" s="1"/>
  <c r="H24" i="1"/>
  <c r="H25" i="1"/>
  <c r="F25" i="2"/>
  <c r="H26" i="1"/>
  <c r="C26" i="2"/>
  <c r="H27" i="1"/>
  <c r="D27" i="2"/>
  <c r="H28" i="1"/>
  <c r="D28" i="2"/>
  <c r="A29" i="1"/>
  <c r="A30" i="1"/>
  <c r="A31" i="1"/>
  <c r="A32" i="1"/>
  <c r="A33" i="1" s="1"/>
  <c r="A34" i="1" s="1"/>
  <c r="A35" i="1" s="1"/>
  <c r="A36" i="1" s="1"/>
  <c r="A37" i="1"/>
  <c r="A38" i="1" s="1"/>
  <c r="A39" i="1" s="1"/>
  <c r="H29" i="1"/>
  <c r="C29" i="2" s="1"/>
  <c r="H31" i="1"/>
  <c r="F31" i="2" s="1"/>
  <c r="H32" i="1"/>
  <c r="H33" i="1"/>
  <c r="D33" i="2" s="1"/>
  <c r="I33" i="1"/>
  <c r="H34" i="1"/>
  <c r="G34" i="2" s="1"/>
  <c r="H35" i="1"/>
  <c r="H36" i="1"/>
  <c r="F36" i="2"/>
  <c r="C36" i="2"/>
  <c r="H37" i="1"/>
  <c r="C36" i="5"/>
  <c r="H38" i="1"/>
  <c r="C37" i="5"/>
  <c r="H39" i="1"/>
  <c r="F39" i="2"/>
  <c r="H40" i="1"/>
  <c r="G40" i="2"/>
  <c r="A41" i="1"/>
  <c r="A42" i="1" s="1"/>
  <c r="A43" i="1" s="1"/>
  <c r="A44" i="1" s="1"/>
  <c r="A45" i="1" s="1"/>
  <c r="A46" i="1" s="1"/>
  <c r="A47" i="1" s="1"/>
  <c r="A48" i="1" s="1"/>
  <c r="A49" i="1" s="1"/>
  <c r="A50" i="1" s="1"/>
  <c r="A51" i="1" s="1"/>
  <c r="H41" i="1"/>
  <c r="C41" i="2" s="1"/>
  <c r="G41" i="2"/>
  <c r="C40" i="5"/>
  <c r="D40" i="5" s="1"/>
  <c r="H42" i="1"/>
  <c r="H43" i="1"/>
  <c r="H44" i="1"/>
  <c r="H45" i="1"/>
  <c r="I45" i="1" s="1"/>
  <c r="H46" i="1"/>
  <c r="C46" i="2" s="1"/>
  <c r="H47" i="1"/>
  <c r="D47" i="2" s="1"/>
  <c r="C47" i="2"/>
  <c r="H48" i="1"/>
  <c r="I48" i="1" s="1"/>
  <c r="H49" i="1"/>
  <c r="F49" i="2"/>
  <c r="H50" i="1"/>
  <c r="H51" i="1"/>
  <c r="C50" i="5" s="1"/>
  <c r="H52" i="1"/>
  <c r="A53" i="1"/>
  <c r="A54" i="1"/>
  <c r="A55" i="1"/>
  <c r="A56" i="1" s="1"/>
  <c r="A57" i="1" s="1"/>
  <c r="A58" i="1" s="1"/>
  <c r="A59" i="1" s="1"/>
  <c r="A60" i="1" s="1"/>
  <c r="A61" i="1" s="1"/>
  <c r="A62" i="1" s="1"/>
  <c r="A63" i="1" s="1"/>
  <c r="H53" i="1"/>
  <c r="G53" i="2"/>
  <c r="E53" i="2"/>
  <c r="H54" i="1"/>
  <c r="H55" i="1"/>
  <c r="C55" i="2" s="1"/>
  <c r="H56" i="1"/>
  <c r="F56" i="2" s="1"/>
  <c r="H57" i="1"/>
  <c r="E57" i="2" s="1"/>
  <c r="F57" i="2"/>
  <c r="H58" i="1"/>
  <c r="F58" i="2"/>
  <c r="H59" i="1"/>
  <c r="E59" i="2"/>
  <c r="H60" i="1"/>
  <c r="H61" i="1"/>
  <c r="C61" i="2" s="1"/>
  <c r="C60" i="5"/>
  <c r="H62" i="1"/>
  <c r="C62" i="2" s="1"/>
  <c r="H63" i="1"/>
  <c r="D63" i="2" s="1"/>
  <c r="F63" i="2"/>
  <c r="H76" i="1"/>
  <c r="C75" i="5" s="1"/>
  <c r="A77" i="1"/>
  <c r="A78" i="1"/>
  <c r="A79" i="1" s="1"/>
  <c r="A80" i="1" s="1"/>
  <c r="A81" i="1" s="1"/>
  <c r="A82" i="1" s="1"/>
  <c r="A83" i="1" s="1"/>
  <c r="A84" i="1" s="1"/>
  <c r="A85" i="1" s="1"/>
  <c r="A86" i="1" s="1"/>
  <c r="A87" i="1" s="1"/>
  <c r="H77" i="1"/>
  <c r="C76" i="5" s="1"/>
  <c r="H78" i="1"/>
  <c r="E78" i="2" s="1"/>
  <c r="C77" i="5"/>
  <c r="H79" i="1"/>
  <c r="I91" i="1"/>
  <c r="G79" i="2"/>
  <c r="C80" i="1"/>
  <c r="H80" i="1"/>
  <c r="C81" i="1"/>
  <c r="H81" i="1" s="1"/>
  <c r="H82" i="1"/>
  <c r="C83" i="1"/>
  <c r="H83" i="1" s="1"/>
  <c r="C84" i="1"/>
  <c r="H84" i="1"/>
  <c r="H85" i="1"/>
  <c r="C85" i="2"/>
  <c r="G85" i="2"/>
  <c r="C86" i="1"/>
  <c r="C87" i="1"/>
  <c r="H87" i="1" s="1"/>
  <c r="H88" i="1"/>
  <c r="G88" i="2"/>
  <c r="A89" i="1"/>
  <c r="A90" i="1" s="1"/>
  <c r="A91" i="1" s="1"/>
  <c r="A92" i="1" s="1"/>
  <c r="A93" i="1" s="1"/>
  <c r="A94" i="1" s="1"/>
  <c r="A95" i="1" s="1"/>
  <c r="A96" i="1" s="1"/>
  <c r="A97" i="1" s="1"/>
  <c r="A98" i="1"/>
  <c r="A99" i="1"/>
  <c r="C89" i="1"/>
  <c r="C90" i="1"/>
  <c r="H90" i="1"/>
  <c r="C89" i="5"/>
  <c r="H91" i="1"/>
  <c r="C92" i="1"/>
  <c r="C93" i="1"/>
  <c r="H93" i="1"/>
  <c r="H94" i="1"/>
  <c r="G94" i="2"/>
  <c r="C95" i="1"/>
  <c r="H95" i="1" s="1"/>
  <c r="D95" i="2"/>
  <c r="C96" i="1"/>
  <c r="H97" i="1"/>
  <c r="C98" i="1"/>
  <c r="C99" i="1"/>
  <c r="D99" i="1"/>
  <c r="C100" i="1"/>
  <c r="H100" i="1"/>
  <c r="A101" i="1"/>
  <c r="A102" i="1"/>
  <c r="A103" i="1" s="1"/>
  <c r="A104" i="1"/>
  <c r="A105" i="1"/>
  <c r="A106" i="1" s="1"/>
  <c r="A107" i="1" s="1"/>
  <c r="A108" i="1" s="1"/>
  <c r="A109" i="1" s="1"/>
  <c r="A110" i="1" s="1"/>
  <c r="A111" i="1" s="1"/>
  <c r="C101" i="1"/>
  <c r="C102" i="1"/>
  <c r="H102" i="1"/>
  <c r="G102" i="2" s="1"/>
  <c r="C103" i="1"/>
  <c r="F103" i="1"/>
  <c r="H103" i="1" s="1"/>
  <c r="G103" i="2" s="1"/>
  <c r="C104" i="1"/>
  <c r="H104" i="1" s="1"/>
  <c r="C104" i="2" s="1"/>
  <c r="E104" i="1"/>
  <c r="E129" i="1"/>
  <c r="E130" i="1" s="1"/>
  <c r="C105" i="1"/>
  <c r="C106" i="1"/>
  <c r="H106" i="1"/>
  <c r="F106" i="2" s="1"/>
  <c r="C106" i="2"/>
  <c r="C107" i="1"/>
  <c r="C108" i="1"/>
  <c r="H108" i="1"/>
  <c r="G108" i="2" s="1"/>
  <c r="C109" i="1"/>
  <c r="H109" i="1"/>
  <c r="C111" i="1"/>
  <c r="H111" i="1"/>
  <c r="G111" i="2" s="1"/>
  <c r="C112" i="1"/>
  <c r="C114" i="1" s="1"/>
  <c r="A113" i="1"/>
  <c r="A114" i="1"/>
  <c r="A115" i="1"/>
  <c r="A116" i="1"/>
  <c r="A117" i="1" s="1"/>
  <c r="A118" i="1"/>
  <c r="A119" i="1" s="1"/>
  <c r="A120" i="1" s="1"/>
  <c r="A121" i="1" s="1"/>
  <c r="A122" i="1" s="1"/>
  <c r="A123" i="1" s="1"/>
  <c r="C115" i="1"/>
  <c r="H115" i="1" s="1"/>
  <c r="C116" i="1"/>
  <c r="C118" i="1"/>
  <c r="H118" i="1"/>
  <c r="C118" i="2" s="1"/>
  <c r="C119" i="1"/>
  <c r="C121" i="1"/>
  <c r="F122" i="1"/>
  <c r="F123" i="1"/>
  <c r="F124" i="1"/>
  <c r="H124" i="1"/>
  <c r="C124" i="2" s="1"/>
  <c r="A125" i="1"/>
  <c r="A126" i="1"/>
  <c r="A127" i="1" s="1"/>
  <c r="A128" i="1" s="1"/>
  <c r="A129" i="1" s="1"/>
  <c r="A130" i="1" s="1"/>
  <c r="A131" i="1" s="1"/>
  <c r="A132" i="1" s="1"/>
  <c r="A133" i="1" s="1"/>
  <c r="A134" i="1" s="1"/>
  <c r="A135" i="1" s="1"/>
  <c r="C125" i="1"/>
  <c r="H125" i="1" s="1"/>
  <c r="F125" i="1"/>
  <c r="C126" i="1"/>
  <c r="H126" i="1"/>
  <c r="C127" i="1"/>
  <c r="C128" i="1"/>
  <c r="C129" i="1"/>
  <c r="F129" i="1"/>
  <c r="C130" i="1"/>
  <c r="F130" i="1"/>
  <c r="C131" i="1"/>
  <c r="F131" i="1"/>
  <c r="C132" i="1"/>
  <c r="H132" i="1" s="1"/>
  <c r="F132" i="1"/>
  <c r="C133" i="1"/>
  <c r="F133" i="1"/>
  <c r="C134" i="1"/>
  <c r="F134" i="1"/>
  <c r="C135" i="1"/>
  <c r="F135" i="1"/>
  <c r="C136" i="1"/>
  <c r="H136" i="1" s="1"/>
  <c r="F136" i="1"/>
  <c r="E136" i="2"/>
  <c r="A137" i="1"/>
  <c r="A138" i="1" s="1"/>
  <c r="A139" i="1"/>
  <c r="A140" i="1" s="1"/>
  <c r="A141" i="1" s="1"/>
  <c r="A142" i="1" s="1"/>
  <c r="A143" i="1" s="1"/>
  <c r="A144" i="1" s="1"/>
  <c r="A145" i="1" s="1"/>
  <c r="A146" i="1" s="1"/>
  <c r="A147" i="1" s="1"/>
  <c r="C137" i="1"/>
  <c r="F137" i="1"/>
  <c r="D138" i="1"/>
  <c r="E138" i="1"/>
  <c r="F138" i="1"/>
  <c r="G138" i="1"/>
  <c r="A149" i="1"/>
  <c r="A150" i="1" s="1"/>
  <c r="A151" i="1"/>
  <c r="A152" i="1" s="1"/>
  <c r="A153" i="1" s="1"/>
  <c r="A154" i="1" s="1"/>
  <c r="A155" i="1" s="1"/>
  <c r="A156" i="1" s="1"/>
  <c r="A157" i="1" s="1"/>
  <c r="A158" i="1" s="1"/>
  <c r="A159" i="1"/>
  <c r="G176" i="1"/>
  <c r="D7" i="6"/>
  <c r="K7" i="6"/>
  <c r="E7" i="6"/>
  <c r="C110" i="1"/>
  <c r="H110" i="1"/>
  <c r="G110" i="2" s="1"/>
  <c r="E67" i="2"/>
  <c r="C66" i="5"/>
  <c r="C26" i="5"/>
  <c r="C27" i="2"/>
  <c r="C70" i="2"/>
  <c r="G70" i="2"/>
  <c r="C28" i="2"/>
  <c r="F28" i="2"/>
  <c r="G28" i="2"/>
  <c r="H112" i="1"/>
  <c r="E47" i="2"/>
  <c r="D17" i="2"/>
  <c r="H146" i="1"/>
  <c r="G146" i="2" s="1"/>
  <c r="G14" i="2"/>
  <c r="H101" i="1"/>
  <c r="C100" i="5" s="1"/>
  <c r="G27" i="2"/>
  <c r="D20" i="2"/>
  <c r="E45" i="2"/>
  <c r="C45" i="2"/>
  <c r="G38" i="2"/>
  <c r="E63" i="2"/>
  <c r="C38" i="5"/>
  <c r="D88" i="2"/>
  <c r="C14" i="2"/>
  <c r="C94" i="2"/>
  <c r="F45" i="2"/>
  <c r="F221" i="1"/>
  <c r="F217" i="1"/>
  <c r="F210" i="1"/>
  <c r="F187" i="1"/>
  <c r="H187" i="1"/>
  <c r="G187" i="2" s="1"/>
  <c r="F182" i="1"/>
  <c r="F192" i="1"/>
  <c r="F177" i="1"/>
  <c r="H177" i="1" s="1"/>
  <c r="C69" i="2"/>
  <c r="I13" i="1"/>
  <c r="D13" i="2"/>
  <c r="E13" i="2"/>
  <c r="G13" i="2"/>
  <c r="F233" i="1"/>
  <c r="C12" i="5"/>
  <c r="D12" i="5" s="1"/>
  <c r="F55" i="2"/>
  <c r="F79" i="2"/>
  <c r="F48" i="2"/>
  <c r="G75" i="2"/>
  <c r="G64" i="2"/>
  <c r="D79" i="2"/>
  <c r="C23" i="5"/>
  <c r="G12" i="2"/>
  <c r="C14" i="5"/>
  <c r="G60" i="2"/>
  <c r="E75" i="2"/>
  <c r="G49" i="2"/>
  <c r="E36" i="2"/>
  <c r="E82" i="2"/>
  <c r="E79" i="2"/>
  <c r="E12" i="2"/>
  <c r="D75" i="2"/>
  <c r="C35" i="5"/>
  <c r="D36" i="5"/>
  <c r="F12" i="2"/>
  <c r="D36" i="2"/>
  <c r="C12" i="2"/>
  <c r="G56" i="2"/>
  <c r="C136" i="2"/>
  <c r="E24" i="2"/>
  <c r="E15" i="2"/>
  <c r="G15" i="2"/>
  <c r="D30" i="2"/>
  <c r="F186" i="1"/>
  <c r="F238" i="1"/>
  <c r="H238" i="1" s="1"/>
  <c r="C238" i="2" s="1"/>
  <c r="F22" i="2"/>
  <c r="D90" i="2"/>
  <c r="E90" i="2"/>
  <c r="C90" i="2"/>
  <c r="C111" i="5"/>
  <c r="H144" i="1"/>
  <c r="C63" i="2"/>
  <c r="C31" i="2"/>
  <c r="C75" i="2"/>
  <c r="D61" i="2"/>
  <c r="C63" i="5"/>
  <c r="C64" i="2"/>
  <c r="D29" i="2"/>
  <c r="F85" i="2"/>
  <c r="D94" i="2"/>
  <c r="C30" i="5"/>
  <c r="G29" i="2"/>
  <c r="F62" i="2"/>
  <c r="F110" i="2"/>
  <c r="C109" i="5"/>
  <c r="C110" i="2"/>
  <c r="C120" i="1"/>
  <c r="H105" i="1"/>
  <c r="C105" i="5"/>
  <c r="I58" i="1"/>
  <c r="C56" i="5"/>
  <c r="C45" i="5"/>
  <c r="D46" i="2"/>
  <c r="E46" i="2"/>
  <c r="I47" i="1"/>
  <c r="I46" i="1"/>
  <c r="G136" i="2"/>
  <c r="D136" i="2"/>
  <c r="D109" i="2"/>
  <c r="G109" i="2"/>
  <c r="C84" i="5"/>
  <c r="D41" i="2"/>
  <c r="E68" i="2"/>
  <c r="E51" i="2"/>
  <c r="C145" i="5"/>
  <c r="D48" i="2"/>
  <c r="D59" i="2"/>
  <c r="C68" i="2"/>
  <c r="E61" i="2"/>
  <c r="E18" i="2"/>
  <c r="C67" i="2"/>
  <c r="F240" i="1"/>
  <c r="H240" i="1"/>
  <c r="C240" i="2" s="1"/>
  <c r="E118" i="2"/>
  <c r="F118" i="2"/>
  <c r="D118" i="2"/>
  <c r="H118" i="2" s="1"/>
  <c r="G44" i="2"/>
  <c r="H44" i="2" s="1"/>
  <c r="C44" i="2"/>
  <c r="D44" i="2"/>
  <c r="C20" i="5"/>
  <c r="D71" i="2"/>
  <c r="C70" i="5"/>
  <c r="G71" i="2"/>
  <c r="C71" i="2"/>
  <c r="H71" i="2" s="1"/>
  <c r="E71" i="2"/>
  <c r="H139" i="1"/>
  <c r="C71" i="5"/>
  <c r="E72" i="2"/>
  <c r="C33" i="5"/>
  <c r="C34" i="2"/>
  <c r="E34" i="2"/>
  <c r="D34" i="2"/>
  <c r="H148" i="1"/>
  <c r="G73" i="2"/>
  <c r="C73" i="2"/>
  <c r="D165" i="2"/>
  <c r="C164" i="5"/>
  <c r="D164" i="5" s="1"/>
  <c r="F238" i="2"/>
  <c r="F77" i="2"/>
  <c r="I90" i="1"/>
  <c r="E55" i="2"/>
  <c r="C54" i="5"/>
  <c r="G55" i="2"/>
  <c r="G143" i="2"/>
  <c r="D143" i="2"/>
  <c r="E143" i="2"/>
  <c r="H154" i="1"/>
  <c r="F154" i="2"/>
  <c r="G43" i="2"/>
  <c r="F43" i="2"/>
  <c r="C42" i="5"/>
  <c r="G32" i="2"/>
  <c r="D32" i="2"/>
  <c r="I32" i="1"/>
  <c r="F32" i="2"/>
  <c r="C19" i="2"/>
  <c r="I19" i="1"/>
  <c r="H63" i="2"/>
  <c r="E165" i="2"/>
  <c r="F21" i="2"/>
  <c r="E137" i="1"/>
  <c r="H137" i="1" s="1"/>
  <c r="C170" i="5"/>
  <c r="E171" i="2"/>
  <c r="C43" i="5"/>
  <c r="D43" i="5" s="1"/>
  <c r="F163" i="2"/>
  <c r="C162" i="5"/>
  <c r="E44" i="2"/>
  <c r="C41" i="5"/>
  <c r="F44" i="2"/>
  <c r="C20" i="2"/>
  <c r="G20" i="2"/>
  <c r="E20" i="2"/>
  <c r="H134" i="1"/>
  <c r="D134" i="2" s="1"/>
  <c r="C18" i="2"/>
  <c r="C140" i="2"/>
  <c r="E104" i="2"/>
  <c r="I18" i="1"/>
  <c r="H133" i="1"/>
  <c r="E133" i="2" s="1"/>
  <c r="C103" i="2"/>
  <c r="F53" i="2"/>
  <c r="H53" i="2"/>
  <c r="C47" i="5"/>
  <c r="G63" i="2"/>
  <c r="I39" i="1"/>
  <c r="F222" i="1"/>
  <c r="H222" i="1"/>
  <c r="I50" i="1"/>
  <c r="E85" i="2"/>
  <c r="G101" i="2"/>
  <c r="F18" i="2"/>
  <c r="E94" i="2"/>
  <c r="C93" i="5"/>
  <c r="D76" i="2"/>
  <c r="E101" i="2"/>
  <c r="E31" i="2"/>
  <c r="D18" i="2"/>
  <c r="D53" i="2"/>
  <c r="I38" i="1"/>
  <c r="H131" i="1"/>
  <c r="F131" i="2" s="1"/>
  <c r="E103" i="2"/>
  <c r="H103" i="2" s="1"/>
  <c r="C62" i="5"/>
  <c r="D63" i="5"/>
  <c r="C76" i="2"/>
  <c r="F205" i="1"/>
  <c r="F156" i="2"/>
  <c r="C38" i="2"/>
  <c r="F194" i="1"/>
  <c r="H194" i="1"/>
  <c r="C39" i="5"/>
  <c r="D85" i="2"/>
  <c r="H85" i="2"/>
  <c r="H158" i="1"/>
  <c r="D91" i="2"/>
  <c r="C17" i="5"/>
  <c r="D17" i="5" s="1"/>
  <c r="F103" i="2"/>
  <c r="F90" i="2"/>
  <c r="F201" i="1"/>
  <c r="F178" i="1"/>
  <c r="F178" i="2" s="1"/>
  <c r="F196" i="1"/>
  <c r="E38" i="2"/>
  <c r="F37" i="2"/>
  <c r="C24" i="5"/>
  <c r="D24" i="5"/>
  <c r="C53" i="2"/>
  <c r="E28" i="2"/>
  <c r="C78" i="2"/>
  <c r="H142" i="1"/>
  <c r="F142" i="2"/>
  <c r="H153" i="1"/>
  <c r="C52" i="5"/>
  <c r="G74" i="2"/>
  <c r="G31" i="2"/>
  <c r="H31" i="2" s="1"/>
  <c r="D64" i="2"/>
  <c r="C48" i="2"/>
  <c r="F202" i="1"/>
  <c r="D106" i="2"/>
  <c r="F94" i="2"/>
  <c r="H94" i="2"/>
  <c r="E29" i="2"/>
  <c r="F61" i="2"/>
  <c r="G90" i="2"/>
  <c r="H90" i="2" s="1"/>
  <c r="F219" i="1"/>
  <c r="H219" i="1"/>
  <c r="G219" i="2" s="1"/>
  <c r="D38" i="2"/>
  <c r="E64" i="2"/>
  <c r="F193" i="1"/>
  <c r="C49" i="2"/>
  <c r="F38" i="2"/>
  <c r="E37" i="2"/>
  <c r="E27" i="2"/>
  <c r="H129" i="1"/>
  <c r="G106" i="2"/>
  <c r="D77" i="5"/>
  <c r="F74" i="2"/>
  <c r="D110" i="2"/>
  <c r="H110" i="2" s="1"/>
  <c r="C74" i="2"/>
  <c r="D31" i="2"/>
  <c r="C30" i="2"/>
  <c r="C101" i="5"/>
  <c r="D101" i="5" s="1"/>
  <c r="F108" i="2"/>
  <c r="H108" i="2" s="1"/>
  <c r="C107" i="5"/>
  <c r="E108" i="2"/>
  <c r="D108" i="2"/>
  <c r="F164" i="2"/>
  <c r="G164" i="2"/>
  <c r="C164" i="2"/>
  <c r="H164" i="2" s="1"/>
  <c r="F132" i="2"/>
  <c r="C96" i="5"/>
  <c r="E97" i="2"/>
  <c r="C97" i="2"/>
  <c r="I76" i="1"/>
  <c r="C125" i="2"/>
  <c r="H38" i="2"/>
  <c r="C110" i="5"/>
  <c r="H170" i="1"/>
  <c r="H192" i="1"/>
  <c r="D126" i="2"/>
  <c r="C125" i="5"/>
  <c r="C87" i="2"/>
  <c r="E110" i="2"/>
  <c r="E109" i="2"/>
  <c r="H109" i="2" s="1"/>
  <c r="F109" i="2"/>
  <c r="C109" i="2"/>
  <c r="C108" i="5"/>
  <c r="C83" i="5"/>
  <c r="D84" i="5" s="1"/>
  <c r="I97" i="1"/>
  <c r="D84" i="2"/>
  <c r="E41" i="2"/>
  <c r="F41" i="2"/>
  <c r="C166" i="2"/>
  <c r="H186" i="1"/>
  <c r="C150" i="1"/>
  <c r="H150" i="1" s="1"/>
  <c r="E150" i="2" s="1"/>
  <c r="G131" i="2"/>
  <c r="G83" i="2"/>
  <c r="C82" i="5"/>
  <c r="H141" i="1"/>
  <c r="I35" i="1"/>
  <c r="C161" i="5"/>
  <c r="E162" i="2"/>
  <c r="F97" i="2"/>
  <c r="G97" i="2"/>
  <c r="H97" i="2" s="1"/>
  <c r="D146" i="2"/>
  <c r="C81" i="5"/>
  <c r="C82" i="2"/>
  <c r="G82" i="2"/>
  <c r="I51" i="1"/>
  <c r="G51" i="2"/>
  <c r="D51" i="2"/>
  <c r="F125" i="2"/>
  <c r="C123" i="1"/>
  <c r="H121" i="1"/>
  <c r="C122" i="1"/>
  <c r="H122" i="1"/>
  <c r="C108" i="2"/>
  <c r="F244" i="1"/>
  <c r="F180" i="1"/>
  <c r="F191" i="1"/>
  <c r="H191" i="1" s="1"/>
  <c r="F204" i="1"/>
  <c r="F206" i="1"/>
  <c r="F239" i="1"/>
  <c r="H239" i="1"/>
  <c r="F239" i="2" s="1"/>
  <c r="F214" i="1"/>
  <c r="H214" i="1"/>
  <c r="E214" i="2" s="1"/>
  <c r="F213" i="1"/>
  <c r="F218" i="1"/>
  <c r="H218" i="1"/>
  <c r="E218" i="2" s="1"/>
  <c r="F216" i="1"/>
  <c r="H216" i="1" s="1"/>
  <c r="G216" i="2" s="1"/>
  <c r="F237" i="1"/>
  <c r="F208" i="1"/>
  <c r="H208" i="1" s="1"/>
  <c r="F212" i="1"/>
  <c r="H212" i="1"/>
  <c r="F198" i="1"/>
  <c r="F223" i="1"/>
  <c r="H223" i="1"/>
  <c r="F209" i="1"/>
  <c r="F235" i="1"/>
  <c r="F181" i="1"/>
  <c r="F246" i="1"/>
  <c r="H246" i="1" s="1"/>
  <c r="F231" i="1"/>
  <c r="H231" i="1"/>
  <c r="F228" i="1"/>
  <c r="H228" i="1"/>
  <c r="F245" i="1"/>
  <c r="F188" i="1"/>
  <c r="H188" i="1" s="1"/>
  <c r="C188" i="2" s="1"/>
  <c r="F189" i="1"/>
  <c r="H189" i="1" s="1"/>
  <c r="F195" i="1"/>
  <c r="F229" i="1"/>
  <c r="F220" i="1"/>
  <c r="H220" i="1" s="1"/>
  <c r="E220" i="2" s="1"/>
  <c r="G220" i="2"/>
  <c r="F215" i="1"/>
  <c r="F183" i="1"/>
  <c r="F234" i="1"/>
  <c r="F243" i="1"/>
  <c r="F225" i="1"/>
  <c r="F176" i="1"/>
  <c r="H176" i="1"/>
  <c r="D176" i="2" s="1"/>
  <c r="F190" i="1"/>
  <c r="F236" i="1"/>
  <c r="F232" i="1"/>
  <c r="H232" i="1"/>
  <c r="F199" i="1"/>
  <c r="F184" i="1"/>
  <c r="H184" i="1" s="1"/>
  <c r="F242" i="1"/>
  <c r="H242" i="1" s="1"/>
  <c r="E242" i="2"/>
  <c r="F241" i="1"/>
  <c r="H241" i="1" s="1"/>
  <c r="F175" i="1"/>
  <c r="H175" i="1"/>
  <c r="C175" i="2" s="1"/>
  <c r="F185" i="1"/>
  <c r="H185" i="1" s="1"/>
  <c r="D185" i="2" s="1"/>
  <c r="F197" i="1"/>
  <c r="H197" i="1"/>
  <c r="G126" i="2"/>
  <c r="D80" i="2"/>
  <c r="I92" i="1"/>
  <c r="D60" i="5"/>
  <c r="C132" i="5"/>
  <c r="D171" i="2"/>
  <c r="D112" i="2"/>
  <c r="C119" i="2"/>
  <c r="H119" i="1"/>
  <c r="H89" i="1"/>
  <c r="C89" i="2" s="1"/>
  <c r="F60" i="2"/>
  <c r="D60" i="2"/>
  <c r="E60" i="2"/>
  <c r="C59" i="5"/>
  <c r="C60" i="2"/>
  <c r="H60" i="2" s="1"/>
  <c r="E26" i="2"/>
  <c r="F26" i="2"/>
  <c r="I26" i="1"/>
  <c r="D26" i="2"/>
  <c r="G26" i="2"/>
  <c r="C25" i="5"/>
  <c r="D25" i="5" s="1"/>
  <c r="G156" i="2"/>
  <c r="E156" i="2"/>
  <c r="C155" i="5"/>
  <c r="D156" i="2"/>
  <c r="H156" i="2" s="1"/>
  <c r="C171" i="2"/>
  <c r="C254" i="1"/>
  <c r="H128" i="1"/>
  <c r="I83" i="1"/>
  <c r="G118" i="2"/>
  <c r="C117" i="5"/>
  <c r="D100" i="2"/>
  <c r="G100" i="2"/>
  <c r="C25" i="2"/>
  <c r="D25" i="2"/>
  <c r="I25" i="1"/>
  <c r="C157" i="5"/>
  <c r="G133" i="2"/>
  <c r="C86" i="5"/>
  <c r="G171" i="2"/>
  <c r="E58" i="2"/>
  <c r="C57" i="5"/>
  <c r="D57" i="5" s="1"/>
  <c r="C58" i="2"/>
  <c r="C153" i="2"/>
  <c r="H160" i="1"/>
  <c r="D164" i="2"/>
  <c r="G172" i="2"/>
  <c r="D172" i="2"/>
  <c r="E172" i="2"/>
  <c r="H178" i="1"/>
  <c r="F105" i="2"/>
  <c r="H116" i="1"/>
  <c r="G57" i="2"/>
  <c r="H57" i="2" s="1"/>
  <c r="C57" i="2"/>
  <c r="D57" i="2"/>
  <c r="C34" i="5"/>
  <c r="E35" i="2"/>
  <c r="D35" i="2"/>
  <c r="D69" i="2"/>
  <c r="E69" i="2"/>
  <c r="G69" i="2"/>
  <c r="C68" i="5"/>
  <c r="E164" i="2"/>
  <c r="H199" i="1"/>
  <c r="C198" i="5" s="1"/>
  <c r="I22" i="1"/>
  <c r="G140" i="2"/>
  <c r="I29" i="1"/>
  <c r="C77" i="2"/>
  <c r="D77" i="2"/>
  <c r="D12" i="2"/>
  <c r="H12" i="2"/>
  <c r="F23" i="2"/>
  <c r="F47" i="2"/>
  <c r="C27" i="5"/>
  <c r="C88" i="2"/>
  <c r="H157" i="1"/>
  <c r="C58" i="5"/>
  <c r="G36" i="2"/>
  <c r="H36" i="2"/>
  <c r="E48" i="2"/>
  <c r="H48" i="2" s="1"/>
  <c r="G47" i="2"/>
  <c r="D40" i="2"/>
  <c r="D74" i="2"/>
  <c r="F59" i="2"/>
  <c r="F17" i="2"/>
  <c r="C72" i="2"/>
  <c r="F27" i="2"/>
  <c r="H152" i="1"/>
  <c r="E152" i="2"/>
  <c r="G37" i="2"/>
  <c r="C113" i="1"/>
  <c r="F88" i="2"/>
  <c r="C56" i="2"/>
  <c r="C48" i="5"/>
  <c r="H167" i="1"/>
  <c r="C167" i="2"/>
  <c r="G77" i="2"/>
  <c r="D37" i="2"/>
  <c r="C22" i="5"/>
  <c r="D23" i="5"/>
  <c r="C90" i="5"/>
  <c r="D90" i="5" s="1"/>
  <c r="C21" i="2"/>
  <c r="I24" i="1"/>
  <c r="I21" i="1"/>
  <c r="C59" i="2"/>
  <c r="F136" i="2"/>
  <c r="F29" i="2"/>
  <c r="E161" i="2"/>
  <c r="G48" i="2"/>
  <c r="I37" i="1"/>
  <c r="C37" i="2"/>
  <c r="H37" i="2" s="1"/>
  <c r="C135" i="5"/>
  <c r="E23" i="2"/>
  <c r="F91" i="2"/>
  <c r="F68" i="2"/>
  <c r="G21" i="2"/>
  <c r="C32" i="2"/>
  <c r="D23" i="2"/>
  <c r="H145" i="1"/>
  <c r="C145" i="2"/>
  <c r="I28" i="1"/>
  <c r="E106" i="2"/>
  <c r="I27" i="1"/>
  <c r="E21" i="2"/>
  <c r="E91" i="2"/>
  <c r="G218" i="2"/>
  <c r="D218" i="2"/>
  <c r="G228" i="2"/>
  <c r="C218" i="5"/>
  <c r="C219" i="2"/>
  <c r="E219" i="2"/>
  <c r="D219" i="2"/>
  <c r="C177" i="2"/>
  <c r="C238" i="5"/>
  <c r="F218" i="2"/>
  <c r="F219" i="2"/>
  <c r="C242" i="2"/>
  <c r="C241" i="5"/>
  <c r="F240" i="2"/>
  <c r="F232" i="2"/>
  <c r="C137" i="2"/>
  <c r="C136" i="5"/>
  <c r="G137" i="2"/>
  <c r="D137" i="2"/>
  <c r="E137" i="2"/>
  <c r="H137" i="2" s="1"/>
  <c r="F137" i="2"/>
  <c r="C144" i="2"/>
  <c r="F144" i="2"/>
  <c r="G144" i="2"/>
  <c r="H144" i="2" s="1"/>
  <c r="D144" i="2"/>
  <c r="E144" i="2"/>
  <c r="G93" i="2"/>
  <c r="F93" i="2"/>
  <c r="C93" i="2"/>
  <c r="E93" i="2"/>
  <c r="D93" i="2"/>
  <c r="C92" i="5"/>
  <c r="D240" i="2"/>
  <c r="E240" i="2"/>
  <c r="G240" i="2"/>
  <c r="C185" i="5"/>
  <c r="E186" i="2"/>
  <c r="G186" i="2"/>
  <c r="C143" i="5"/>
  <c r="D144" i="5" s="1"/>
  <c r="I55" i="1"/>
  <c r="G54" i="2"/>
  <c r="I54" i="1"/>
  <c r="D54" i="2"/>
  <c r="F54" i="2"/>
  <c r="C53" i="5"/>
  <c r="D53" i="5" s="1"/>
  <c r="E54" i="2"/>
  <c r="C54" i="2"/>
  <c r="F206" i="2"/>
  <c r="H206" i="2" s="1"/>
  <c r="F208" i="2"/>
  <c r="G129" i="2"/>
  <c r="C237" i="5"/>
  <c r="H204" i="1"/>
  <c r="H210" i="1"/>
  <c r="E210" i="2" s="1"/>
  <c r="G251" i="1"/>
  <c r="G252" i="1" s="1"/>
  <c r="G253" i="1" s="1"/>
  <c r="G254" i="1" s="1"/>
  <c r="F104" i="2"/>
  <c r="C103" i="5"/>
  <c r="H99" i="1"/>
  <c r="C11" i="2"/>
  <c r="E11" i="2"/>
  <c r="C10" i="5"/>
  <c r="I12" i="1"/>
  <c r="D11" i="2"/>
  <c r="F11" i="2"/>
  <c r="C158" i="5"/>
  <c r="D158" i="5" s="1"/>
  <c r="C159" i="2"/>
  <c r="G238" i="2"/>
  <c r="D238" i="2"/>
  <c r="E238" i="2"/>
  <c r="C216" i="2"/>
  <c r="H216" i="2" s="1"/>
  <c r="E216" i="2"/>
  <c r="F189" i="2"/>
  <c r="G19" i="2"/>
  <c r="D19" i="2"/>
  <c r="H19" i="2" s="1"/>
  <c r="C18" i="5"/>
  <c r="F19" i="2"/>
  <c r="I20" i="1"/>
  <c r="E19" i="2"/>
  <c r="G52" i="2"/>
  <c r="I53" i="1"/>
  <c r="C51" i="5"/>
  <c r="E52" i="2"/>
  <c r="F52" i="2"/>
  <c r="C52" i="2"/>
  <c r="D43" i="2"/>
  <c r="I43" i="1"/>
  <c r="E43" i="2"/>
  <c r="I44" i="1"/>
  <c r="C43" i="2"/>
  <c r="E159" i="2"/>
  <c r="H179" i="1"/>
  <c r="D16" i="2"/>
  <c r="I16" i="1"/>
  <c r="G16" i="2"/>
  <c r="C16" i="2"/>
  <c r="C15" i="5"/>
  <c r="F16" i="2"/>
  <c r="E16" i="2"/>
  <c r="H215" i="1"/>
  <c r="F215" i="2"/>
  <c r="C123" i="5"/>
  <c r="G124" i="2"/>
  <c r="I17" i="1"/>
  <c r="F10" i="2"/>
  <c r="D10" i="2"/>
  <c r="E10" i="2"/>
  <c r="C10" i="2"/>
  <c r="G10" i="2"/>
  <c r="D73" i="2"/>
  <c r="C72" i="5"/>
  <c r="F73" i="2"/>
  <c r="H73" i="2" s="1"/>
  <c r="H236" i="1"/>
  <c r="E236" i="2" s="1"/>
  <c r="C217" i="5"/>
  <c r="C218" i="2"/>
  <c r="H221" i="1"/>
  <c r="F124" i="2"/>
  <c r="C49" i="5"/>
  <c r="E50" i="2"/>
  <c r="G50" i="2"/>
  <c r="F50" i="2"/>
  <c r="C50" i="2"/>
  <c r="D50" i="2"/>
  <c r="H50" i="2" s="1"/>
  <c r="C142" i="5"/>
  <c r="C143" i="2"/>
  <c r="H143" i="2" s="1"/>
  <c r="G134" i="2"/>
  <c r="E73" i="2"/>
  <c r="C163" i="2"/>
  <c r="E163" i="2"/>
  <c r="H163" i="2" s="1"/>
  <c r="C99" i="5"/>
  <c r="F100" i="2"/>
  <c r="H92" i="1"/>
  <c r="F65" i="2"/>
  <c r="C65" i="2"/>
  <c r="C64" i="5"/>
  <c r="E65" i="2"/>
  <c r="E134" i="2"/>
  <c r="E33" i="2"/>
  <c r="C32" i="5"/>
  <c r="C33" i="2"/>
  <c r="D154" i="2"/>
  <c r="E154" i="2"/>
  <c r="D66" i="2"/>
  <c r="F66" i="2"/>
  <c r="C65" i="5"/>
  <c r="E66" i="2"/>
  <c r="F134" i="2"/>
  <c r="C105" i="2"/>
  <c r="F162" i="2"/>
  <c r="G162" i="2"/>
  <c r="C165" i="2"/>
  <c r="G33" i="2"/>
  <c r="G66" i="2"/>
  <c r="H98" i="1"/>
  <c r="C98" i="2"/>
  <c r="F51" i="2"/>
  <c r="C40" i="2"/>
  <c r="E40" i="2"/>
  <c r="F40" i="2"/>
  <c r="I40" i="1"/>
  <c r="I41" i="1"/>
  <c r="D89" i="2"/>
  <c r="D163" i="2"/>
  <c r="D124" i="2"/>
  <c r="C102" i="2"/>
  <c r="D102" i="2"/>
  <c r="F102" i="2"/>
  <c r="E102" i="2"/>
  <c r="G61" i="2"/>
  <c r="I61" i="1"/>
  <c r="C39" i="2"/>
  <c r="E39" i="2"/>
  <c r="D39" i="2"/>
  <c r="G39" i="2"/>
  <c r="C21" i="5"/>
  <c r="D22" i="2"/>
  <c r="E22" i="2"/>
  <c r="H22" i="2" s="1"/>
  <c r="G22" i="2"/>
  <c r="G145" i="2"/>
  <c r="E105" i="2"/>
  <c r="C133" i="5"/>
  <c r="F33" i="2"/>
  <c r="D103" i="2"/>
  <c r="D228" i="2"/>
  <c r="F214" i="2"/>
  <c r="E100" i="2"/>
  <c r="G78" i="2"/>
  <c r="D78" i="2"/>
  <c r="C100" i="2"/>
  <c r="H100" i="2" s="1"/>
  <c r="I60" i="1"/>
  <c r="D67" i="2"/>
  <c r="C74" i="5"/>
  <c r="D97" i="2"/>
  <c r="D82" i="2"/>
  <c r="F82" i="2"/>
  <c r="C15" i="2"/>
  <c r="H15" i="2" s="1"/>
  <c r="D15" i="2"/>
  <c r="C126" i="2"/>
  <c r="G166" i="2"/>
  <c r="H182" i="1"/>
  <c r="F182" i="2"/>
  <c r="E17" i="2"/>
  <c r="H155" i="1"/>
  <c r="F155" i="2"/>
  <c r="F42" i="2"/>
  <c r="G35" i="2"/>
  <c r="G17" i="2"/>
  <c r="C29" i="5"/>
  <c r="D30" i="5" s="1"/>
  <c r="I30" i="1"/>
  <c r="G30" i="2"/>
  <c r="F30" i="2"/>
  <c r="I31" i="1"/>
  <c r="C94" i="5"/>
  <c r="G95" i="2"/>
  <c r="G59" i="2"/>
  <c r="I59" i="1"/>
  <c r="F143" i="2"/>
  <c r="E187" i="2"/>
  <c r="E25" i="2"/>
  <c r="E88" i="2"/>
  <c r="H88" i="2" s="1"/>
  <c r="G58" i="2"/>
  <c r="D58" i="2"/>
  <c r="D45" i="2"/>
  <c r="H45" i="2"/>
  <c r="C44" i="5"/>
  <c r="G45" i="2"/>
  <c r="I34" i="1"/>
  <c r="F34" i="2"/>
  <c r="H173" i="1"/>
  <c r="D173" i="2" s="1"/>
  <c r="F200" i="1"/>
  <c r="H200" i="1" s="1"/>
  <c r="F224" i="1"/>
  <c r="F211" i="1"/>
  <c r="F174" i="1"/>
  <c r="F203" i="1"/>
  <c r="F207" i="1"/>
  <c r="F226" i="1"/>
  <c r="F227" i="1"/>
  <c r="H227" i="1" s="1"/>
  <c r="F230" i="1"/>
  <c r="I36" i="1"/>
  <c r="C95" i="2"/>
  <c r="C17" i="2"/>
  <c r="G25" i="2"/>
  <c r="C87" i="5"/>
  <c r="D87" i="5" s="1"/>
  <c r="C79" i="2"/>
  <c r="H79" i="2" s="1"/>
  <c r="C78" i="5"/>
  <c r="F222" i="2"/>
  <c r="C221" i="5"/>
  <c r="H58" i="2"/>
  <c r="H41" i="2"/>
  <c r="E129" i="2"/>
  <c r="C129" i="2"/>
  <c r="D129" i="2"/>
  <c r="F202" i="2"/>
  <c r="G158" i="2"/>
  <c r="D158" i="2"/>
  <c r="E158" i="2"/>
  <c r="H25" i="2"/>
  <c r="C144" i="5"/>
  <c r="D145" i="5" s="1"/>
  <c r="D104" i="2"/>
  <c r="G223" i="2"/>
  <c r="C154" i="2"/>
  <c r="H154" i="2" s="1"/>
  <c r="C153" i="5"/>
  <c r="G154" i="2"/>
  <c r="G148" i="2"/>
  <c r="D175" i="2"/>
  <c r="E223" i="2"/>
  <c r="F158" i="2"/>
  <c r="D145" i="2"/>
  <c r="G104" i="2"/>
  <c r="D83" i="5"/>
  <c r="D71" i="5"/>
  <c r="H61" i="2"/>
  <c r="F188" i="2"/>
  <c r="E192" i="2"/>
  <c r="H29" i="2"/>
  <c r="C158" i="2"/>
  <c r="D133" i="2"/>
  <c r="D142" i="2"/>
  <c r="C222" i="5"/>
  <c r="D222" i="5" s="1"/>
  <c r="C130" i="5"/>
  <c r="C132" i="2"/>
  <c r="F133" i="2"/>
  <c r="C215" i="5"/>
  <c r="F129" i="2"/>
  <c r="C211" i="5"/>
  <c r="C138" i="5"/>
  <c r="D139" i="2"/>
  <c r="E139" i="2"/>
  <c r="F192" i="2"/>
  <c r="D216" i="2"/>
  <c r="C128" i="5"/>
  <c r="C199" i="2"/>
  <c r="E131" i="2"/>
  <c r="H130" i="1"/>
  <c r="F139" i="2"/>
  <c r="E142" i="2"/>
  <c r="C142" i="2"/>
  <c r="G142" i="2"/>
  <c r="D162" i="5"/>
  <c r="E199" i="2"/>
  <c r="C141" i="5"/>
  <c r="D131" i="2"/>
  <c r="G153" i="2"/>
  <c r="D197" i="2"/>
  <c r="E197" i="2"/>
  <c r="C196" i="5"/>
  <c r="F197" i="2"/>
  <c r="C197" i="2"/>
  <c r="G197" i="2"/>
  <c r="H181" i="1"/>
  <c r="F181" i="2"/>
  <c r="H180" i="1"/>
  <c r="F180" i="2"/>
  <c r="H30" i="2"/>
  <c r="G199" i="2"/>
  <c r="D151" i="2"/>
  <c r="G151" i="2"/>
  <c r="C150" i="5"/>
  <c r="E151" i="2"/>
  <c r="E157" i="2"/>
  <c r="C156" i="5"/>
  <c r="D156" i="5" s="1"/>
  <c r="D167" i="2"/>
  <c r="D110" i="5"/>
  <c r="D34" i="5"/>
  <c r="D35" i="5"/>
  <c r="D27" i="5"/>
  <c r="C115" i="5"/>
  <c r="D116" i="2"/>
  <c r="E116" i="2"/>
  <c r="H116" i="2" s="1"/>
  <c r="I80" i="1"/>
  <c r="G116" i="2"/>
  <c r="F116" i="2"/>
  <c r="C219" i="5"/>
  <c r="D219" i="5" s="1"/>
  <c r="C212" i="2"/>
  <c r="C169" i="5"/>
  <c r="D170" i="5"/>
  <c r="D170" i="2"/>
  <c r="G170" i="2"/>
  <c r="C170" i="2"/>
  <c r="F170" i="2"/>
  <c r="E170" i="2"/>
  <c r="E160" i="2"/>
  <c r="C159" i="5"/>
  <c r="D160" i="2"/>
  <c r="C160" i="2"/>
  <c r="G160" i="2"/>
  <c r="C152" i="2"/>
  <c r="D157" i="5"/>
  <c r="F121" i="2"/>
  <c r="C120" i="5"/>
  <c r="D121" i="2"/>
  <c r="E121" i="2"/>
  <c r="G121" i="2"/>
  <c r="C207" i="5"/>
  <c r="F242" i="2"/>
  <c r="D242" i="2"/>
  <c r="H195" i="1"/>
  <c r="F195" i="2"/>
  <c r="H237" i="1"/>
  <c r="F237" i="2"/>
  <c r="C151" i="2"/>
  <c r="H151" i="2" s="1"/>
  <c r="D143" i="5"/>
  <c r="C116" i="2"/>
  <c r="C166" i="5"/>
  <c r="G167" i="2"/>
  <c r="E167" i="2"/>
  <c r="H167" i="2" s="1"/>
  <c r="F167" i="2"/>
  <c r="E38" i="5"/>
  <c r="F216" i="2"/>
  <c r="C121" i="2"/>
  <c r="F160" i="2"/>
  <c r="G242" i="2"/>
  <c r="D199" i="2"/>
  <c r="H171" i="2"/>
  <c r="H225" i="1"/>
  <c r="D225" i="2" s="1"/>
  <c r="C177" i="5"/>
  <c r="D178" i="2"/>
  <c r="E178" i="2"/>
  <c r="C178" i="2"/>
  <c r="H178" i="2" s="1"/>
  <c r="D26" i="5"/>
  <c r="C213" i="5"/>
  <c r="G214" i="2"/>
  <c r="D214" i="2"/>
  <c r="C214" i="2"/>
  <c r="G141" i="2"/>
  <c r="E141" i="2"/>
  <c r="F141" i="2"/>
  <c r="G178" i="2"/>
  <c r="F220" i="2"/>
  <c r="H59" i="2"/>
  <c r="C186" i="2"/>
  <c r="F145" i="2"/>
  <c r="E145" i="2"/>
  <c r="F151" i="2"/>
  <c r="E89" i="2"/>
  <c r="H89" i="2" s="1"/>
  <c r="F89" i="2"/>
  <c r="G89" i="2"/>
  <c r="C88" i="5"/>
  <c r="G239" i="2"/>
  <c r="D82" i="5"/>
  <c r="D132" i="2"/>
  <c r="H132" i="2" s="1"/>
  <c r="G132" i="2"/>
  <c r="C131" i="5"/>
  <c r="E132" i="2"/>
  <c r="H243" i="1"/>
  <c r="G243" i="2" s="1"/>
  <c r="H43" i="2"/>
  <c r="H218" i="2"/>
  <c r="F228" i="2"/>
  <c r="H113" i="1"/>
  <c r="C113" i="2"/>
  <c r="E119" i="2"/>
  <c r="G119" i="2"/>
  <c r="C118" i="5"/>
  <c r="D118" i="5"/>
  <c r="D119" i="2"/>
  <c r="F119" i="2"/>
  <c r="C222" i="2"/>
  <c r="G222" i="2"/>
  <c r="D109" i="5"/>
  <c r="C187" i="5"/>
  <c r="H238" i="2"/>
  <c r="H219" i="2"/>
  <c r="D188" i="2"/>
  <c r="G188" i="2"/>
  <c r="C203" i="5"/>
  <c r="C204" i="2"/>
  <c r="E204" i="2"/>
  <c r="G204" i="2"/>
  <c r="D204" i="2"/>
  <c r="H93" i="2"/>
  <c r="H33" i="2"/>
  <c r="G184" i="2"/>
  <c r="C184" i="2"/>
  <c r="E184" i="2"/>
  <c r="D184" i="2"/>
  <c r="C183" i="5"/>
  <c r="D94" i="5"/>
  <c r="D72" i="5"/>
  <c r="E155" i="2"/>
  <c r="D155" i="2"/>
  <c r="G155" i="2"/>
  <c r="C154" i="5"/>
  <c r="C155" i="2"/>
  <c r="D11" i="5"/>
  <c r="H207" i="1"/>
  <c r="G182" i="2"/>
  <c r="H102" i="2"/>
  <c r="F184" i="2"/>
  <c r="D33" i="5"/>
  <c r="D15" i="5"/>
  <c r="D16" i="5"/>
  <c r="D189" i="2"/>
  <c r="E189" i="2"/>
  <c r="C189" i="2"/>
  <c r="G189" i="2"/>
  <c r="C188" i="5"/>
  <c r="H11" i="2"/>
  <c r="H40" i="2"/>
  <c r="D73" i="5"/>
  <c r="G221" i="2"/>
  <c r="D221" i="2"/>
  <c r="C221" i="2"/>
  <c r="H10" i="2"/>
  <c r="H16" i="2"/>
  <c r="D44" i="5"/>
  <c r="D45" i="5"/>
  <c r="H226" i="1"/>
  <c r="G226" i="2" s="1"/>
  <c r="D100" i="5"/>
  <c r="D74" i="5"/>
  <c r="H203" i="1"/>
  <c r="F203" i="2"/>
  <c r="D78" i="5"/>
  <c r="G179" i="2"/>
  <c r="E179" i="2"/>
  <c r="D179" i="2"/>
  <c r="C178" i="5"/>
  <c r="C179" i="2"/>
  <c r="H211" i="1"/>
  <c r="F211" i="2"/>
  <c r="E26" i="5"/>
  <c r="D22" i="5"/>
  <c r="H224" i="1"/>
  <c r="G224" i="2" s="1"/>
  <c r="F224" i="2"/>
  <c r="D65" i="5"/>
  <c r="D50" i="5"/>
  <c r="F179" i="2"/>
  <c r="G150" i="2"/>
  <c r="C172" i="5"/>
  <c r="G173" i="2"/>
  <c r="E173" i="2"/>
  <c r="C173" i="2"/>
  <c r="F173" i="2"/>
  <c r="D66" i="5"/>
  <c r="H66" i="2"/>
  <c r="D51" i="5"/>
  <c r="D52" i="5"/>
  <c r="H54" i="2"/>
  <c r="D93" i="5"/>
  <c r="H174" i="1"/>
  <c r="E174" i="2" s="1"/>
  <c r="G99" i="2"/>
  <c r="C98" i="5"/>
  <c r="D99" i="5" s="1"/>
  <c r="D64" i="5"/>
  <c r="D206" i="2"/>
  <c r="G206" i="2"/>
  <c r="C205" i="5"/>
  <c r="C206" i="2"/>
  <c r="E206" i="2"/>
  <c r="C97" i="5"/>
  <c r="G98" i="2"/>
  <c r="E98" i="2"/>
  <c r="D98" i="2"/>
  <c r="F98" i="2"/>
  <c r="H17" i="2"/>
  <c r="D133" i="5"/>
  <c r="H39" i="2"/>
  <c r="G92" i="2"/>
  <c r="E92" i="2"/>
  <c r="F92" i="2"/>
  <c r="G210" i="2"/>
  <c r="C209" i="5"/>
  <c r="D210" i="2"/>
  <c r="C210" i="2"/>
  <c r="H158" i="2"/>
  <c r="C130" i="2"/>
  <c r="D188" i="5"/>
  <c r="E202" i="2"/>
  <c r="G202" i="2"/>
  <c r="C201" i="5"/>
  <c r="D202" i="2"/>
  <c r="C202" i="2"/>
  <c r="H119" i="2"/>
  <c r="H242" i="2"/>
  <c r="D142" i="5"/>
  <c r="H142" i="2"/>
  <c r="D159" i="5"/>
  <c r="C179" i="5"/>
  <c r="D179" i="5" s="1"/>
  <c r="D180" i="2"/>
  <c r="H170" i="2"/>
  <c r="D88" i="5"/>
  <c r="D89" i="5"/>
  <c r="D113" i="2"/>
  <c r="H113" i="2" s="1"/>
  <c r="C112" i="5"/>
  <c r="G113" i="2"/>
  <c r="E113" i="2"/>
  <c r="I77" i="1"/>
  <c r="F113" i="2"/>
  <c r="C242" i="5"/>
  <c r="E243" i="2"/>
  <c r="D243" i="2"/>
  <c r="C243" i="2"/>
  <c r="H98" i="2"/>
  <c r="H160" i="2"/>
  <c r="C194" i="5"/>
  <c r="G195" i="2"/>
  <c r="D195" i="2"/>
  <c r="C195" i="2"/>
  <c r="E195" i="2"/>
  <c r="G185" i="2"/>
  <c r="E185" i="2"/>
  <c r="C184" i="5"/>
  <c r="D184" i="5" s="1"/>
  <c r="C185" i="2"/>
  <c r="H185" i="2" s="1"/>
  <c r="E225" i="2"/>
  <c r="C224" i="5"/>
  <c r="G225" i="2"/>
  <c r="D237" i="2"/>
  <c r="G237" i="2"/>
  <c r="C237" i="2"/>
  <c r="F185" i="2"/>
  <c r="E181" i="2"/>
  <c r="G181" i="2"/>
  <c r="C181" i="2"/>
  <c r="H181" i="2" s="1"/>
  <c r="C180" i="5"/>
  <c r="D181" i="2"/>
  <c r="C223" i="5"/>
  <c r="D223" i="5" s="1"/>
  <c r="D224" i="2"/>
  <c r="H189" i="2"/>
  <c r="C207" i="2"/>
  <c r="E207" i="2"/>
  <c r="H184" i="2"/>
  <c r="H179" i="2"/>
  <c r="G174" i="2"/>
  <c r="D174" i="2"/>
  <c r="C173" i="5"/>
  <c r="D173" i="5" s="1"/>
  <c r="D97" i="5"/>
  <c r="H173" i="2"/>
  <c r="E226" i="2"/>
  <c r="C226" i="2"/>
  <c r="D226" i="2"/>
  <c r="H155" i="2"/>
  <c r="D155" i="5"/>
  <c r="D154" i="5"/>
  <c r="D203" i="2"/>
  <c r="C203" i="2"/>
  <c r="D178" i="5"/>
  <c r="H202" i="2"/>
  <c r="H195" i="2"/>
  <c r="D242" i="5"/>
  <c r="D185" i="5"/>
  <c r="D112" i="5"/>
  <c r="C245" i="5"/>
  <c r="E246" i="2"/>
  <c r="F246" i="2"/>
  <c r="H246" i="2" s="1"/>
  <c r="G246" i="2"/>
  <c r="C246" i="2"/>
  <c r="D246" i="2"/>
  <c r="H244" i="1"/>
  <c r="C244" i="2"/>
  <c r="E244" i="2"/>
  <c r="C243" i="5"/>
  <c r="D243" i="5" s="1"/>
  <c r="G244" i="2"/>
  <c r="H248" i="1" l="1"/>
  <c r="D251" i="1"/>
  <c r="D252" i="1" s="1"/>
  <c r="D253" i="1" s="1"/>
  <c r="H237" i="2"/>
  <c r="D108" i="5"/>
  <c r="E251" i="1"/>
  <c r="E211" i="2"/>
  <c r="G211" i="2"/>
  <c r="C211" i="2"/>
  <c r="C210" i="5"/>
  <c r="D211" i="2"/>
  <c r="E200" i="2"/>
  <c r="C199" i="5"/>
  <c r="C200" i="2"/>
  <c r="G200" i="2"/>
  <c r="D200" i="2"/>
  <c r="H234" i="1"/>
  <c r="F234" i="2"/>
  <c r="D75" i="5"/>
  <c r="E77" i="5"/>
  <c r="D122" i="2"/>
  <c r="E122" i="2"/>
  <c r="F122" i="2"/>
  <c r="C121" i="5"/>
  <c r="G122" i="2"/>
  <c r="I86" i="1"/>
  <c r="C122" i="2"/>
  <c r="D98" i="5"/>
  <c r="E241" i="2"/>
  <c r="G241" i="2"/>
  <c r="C240" i="5"/>
  <c r="C241" i="2"/>
  <c r="D241" i="2"/>
  <c r="H221" i="2"/>
  <c r="D218" i="5"/>
  <c r="C214" i="5"/>
  <c r="C215" i="2"/>
  <c r="H215" i="2" s="1"/>
  <c r="G215" i="2"/>
  <c r="D215" i="2"/>
  <c r="E215" i="2"/>
  <c r="H21" i="2"/>
  <c r="F152" i="2"/>
  <c r="C151" i="5"/>
  <c r="G152" i="2"/>
  <c r="H152" i="2" s="1"/>
  <c r="D152" i="2"/>
  <c r="G255" i="1"/>
  <c r="G256" i="1" s="1"/>
  <c r="G257" i="1" s="1"/>
  <c r="G258" i="1" s="1"/>
  <c r="G259" i="1" s="1"/>
  <c r="G260" i="1" s="1"/>
  <c r="G261" i="1" s="1"/>
  <c r="G262" i="1" s="1"/>
  <c r="G263" i="1" s="1"/>
  <c r="G264" i="1" s="1"/>
  <c r="G265" i="1" s="1"/>
  <c r="G266" i="1" s="1"/>
  <c r="G267" i="1" s="1"/>
  <c r="H203" i="2"/>
  <c r="H230" i="1"/>
  <c r="F230" i="2" s="1"/>
  <c r="F241" i="2"/>
  <c r="C226" i="5"/>
  <c r="D226" i="5" s="1"/>
  <c r="E227" i="2"/>
  <c r="F227" i="2"/>
  <c r="C227" i="2"/>
  <c r="G227" i="2"/>
  <c r="D227" i="2"/>
  <c r="E194" i="2"/>
  <c r="G194" i="2"/>
  <c r="C193" i="5"/>
  <c r="C194" i="2"/>
  <c r="D42" i="5"/>
  <c r="D41" i="5"/>
  <c r="G50" i="5"/>
  <c r="E44" i="5"/>
  <c r="F44" i="5"/>
  <c r="H214" i="2"/>
  <c r="F236" i="2"/>
  <c r="E158" i="5"/>
  <c r="D236" i="2"/>
  <c r="C235" i="5"/>
  <c r="C236" i="2"/>
  <c r="G236" i="2"/>
  <c r="H129" i="2"/>
  <c r="D224" i="5"/>
  <c r="C202" i="5"/>
  <c r="E203" i="2"/>
  <c r="G203" i="2"/>
  <c r="D37" i="5"/>
  <c r="G183" i="2"/>
  <c r="F183" i="2"/>
  <c r="D183" i="2"/>
  <c r="E183" i="2"/>
  <c r="C182" i="5"/>
  <c r="F182" i="5" s="1"/>
  <c r="C123" i="2"/>
  <c r="D81" i="2"/>
  <c r="E81" i="2"/>
  <c r="I93" i="1"/>
  <c r="F81" i="2"/>
  <c r="G81" i="2"/>
  <c r="I94" i="1"/>
  <c r="C174" i="2"/>
  <c r="H197" i="2"/>
  <c r="H104" i="2"/>
  <c r="F207" i="2"/>
  <c r="C99" i="2"/>
  <c r="D99" i="2"/>
  <c r="E99" i="2"/>
  <c r="F99" i="2"/>
  <c r="D241" i="5"/>
  <c r="H235" i="1"/>
  <c r="D141" i="2"/>
  <c r="C141" i="2"/>
  <c r="H141" i="2" s="1"/>
  <c r="C140" i="5"/>
  <c r="H120" i="1"/>
  <c r="C120" i="2"/>
  <c r="G80" i="2"/>
  <c r="F80" i="2"/>
  <c r="C80" i="2"/>
  <c r="H80" i="2" s="1"/>
  <c r="C79" i="5"/>
  <c r="E80" i="2"/>
  <c r="H82" i="2"/>
  <c r="C225" i="2"/>
  <c r="F174" i="2"/>
  <c r="F225" i="2"/>
  <c r="H209" i="1"/>
  <c r="F209" i="2" s="1"/>
  <c r="H240" i="2"/>
  <c r="E182" i="5"/>
  <c r="F226" i="2"/>
  <c r="H229" i="1"/>
  <c r="F229" i="2" s="1"/>
  <c r="H201" i="1"/>
  <c r="F201" i="2" s="1"/>
  <c r="H124" i="2"/>
  <c r="E232" i="2"/>
  <c r="C231" i="5"/>
  <c r="D232" i="2"/>
  <c r="G232" i="2"/>
  <c r="D38" i="5"/>
  <c r="C128" i="2"/>
  <c r="C232" i="2"/>
  <c r="E130" i="2"/>
  <c r="G130" i="2"/>
  <c r="D130" i="2"/>
  <c r="H130" i="2" s="1"/>
  <c r="C129" i="5"/>
  <c r="F130" i="2"/>
  <c r="D238" i="5"/>
  <c r="F198" i="2"/>
  <c r="C150" i="2"/>
  <c r="H74" i="2"/>
  <c r="C152" i="5"/>
  <c r="D153" i="2"/>
  <c r="H153" i="2" s="1"/>
  <c r="F153" i="2"/>
  <c r="C80" i="5"/>
  <c r="H28" i="2"/>
  <c r="H135" i="1"/>
  <c r="H127" i="1"/>
  <c r="C127" i="2"/>
  <c r="E101" i="5"/>
  <c r="D20" i="5"/>
  <c r="D21" i="5"/>
  <c r="F177" i="2"/>
  <c r="H177" i="2" s="1"/>
  <c r="E177" i="2"/>
  <c r="C176" i="5"/>
  <c r="G177" i="2"/>
  <c r="D54" i="5"/>
  <c r="C225" i="5"/>
  <c r="G207" i="2"/>
  <c r="C206" i="5"/>
  <c r="D207" i="2"/>
  <c r="H207" i="2" s="1"/>
  <c r="D111" i="5"/>
  <c r="D177" i="2"/>
  <c r="E50" i="5"/>
  <c r="D49" i="5"/>
  <c r="D48" i="5"/>
  <c r="C191" i="2"/>
  <c r="E191" i="2"/>
  <c r="F191" i="2"/>
  <c r="C190" i="5"/>
  <c r="G191" i="2"/>
  <c r="H96" i="1"/>
  <c r="C147" i="5"/>
  <c r="C148" i="2"/>
  <c r="E148" i="2"/>
  <c r="F148" i="2"/>
  <c r="D148" i="2"/>
  <c r="E237" i="2"/>
  <c r="C236" i="5"/>
  <c r="F150" i="2"/>
  <c r="D150" i="2"/>
  <c r="C149" i="5"/>
  <c r="E53" i="5"/>
  <c r="E180" i="2"/>
  <c r="C180" i="2"/>
  <c r="G180" i="2"/>
  <c r="C182" i="2"/>
  <c r="E182" i="2"/>
  <c r="D182" i="2"/>
  <c r="C181" i="5"/>
  <c r="C92" i="2"/>
  <c r="H92" i="2" s="1"/>
  <c r="D92" i="2"/>
  <c r="C91" i="5"/>
  <c r="H145" i="2"/>
  <c r="D208" i="2"/>
  <c r="E208" i="2"/>
  <c r="G208" i="2"/>
  <c r="C208" i="2"/>
  <c r="H26" i="2"/>
  <c r="H226" i="2"/>
  <c r="G128" i="2"/>
  <c r="F128" i="2"/>
  <c r="E128" i="2"/>
  <c r="D128" i="2"/>
  <c r="C224" i="2"/>
  <c r="D244" i="2"/>
  <c r="H244" i="2" s="1"/>
  <c r="F244" i="2"/>
  <c r="E224" i="2"/>
  <c r="F200" i="2"/>
  <c r="D220" i="2"/>
  <c r="D180" i="5"/>
  <c r="F243" i="2"/>
  <c r="H243" i="2" s="1"/>
  <c r="D131" i="5"/>
  <c r="D132" i="5"/>
  <c r="C220" i="2"/>
  <c r="H220" i="2" s="1"/>
  <c r="H121" i="2"/>
  <c r="D191" i="2"/>
  <c r="C127" i="5"/>
  <c r="H95" i="2"/>
  <c r="F221" i="2"/>
  <c r="E221" i="2"/>
  <c r="C220" i="5"/>
  <c r="D58" i="5"/>
  <c r="D59" i="5"/>
  <c r="C231" i="2"/>
  <c r="C230" i="5"/>
  <c r="F231" i="2"/>
  <c r="G231" i="2"/>
  <c r="E231" i="2"/>
  <c r="D231" i="2"/>
  <c r="C191" i="5"/>
  <c r="G192" i="2"/>
  <c r="D192" i="2"/>
  <c r="C192" i="2"/>
  <c r="E20" i="5"/>
  <c r="C183" i="2"/>
  <c r="E188" i="2"/>
  <c r="H188" i="2" s="1"/>
  <c r="C157" i="2"/>
  <c r="G157" i="2"/>
  <c r="D223" i="2"/>
  <c r="C223" i="2"/>
  <c r="F223" i="2"/>
  <c r="I85" i="1"/>
  <c r="D186" i="2"/>
  <c r="H186" i="2" s="1"/>
  <c r="F186" i="2"/>
  <c r="H34" i="2"/>
  <c r="E126" i="2"/>
  <c r="F126" i="2"/>
  <c r="E95" i="2"/>
  <c r="F95" i="2"/>
  <c r="E153" i="2"/>
  <c r="D18" i="5"/>
  <c r="F175" i="2"/>
  <c r="H175" i="2" s="1"/>
  <c r="H190" i="1"/>
  <c r="F190" i="2" s="1"/>
  <c r="H123" i="1"/>
  <c r="F166" i="2"/>
  <c r="C134" i="2"/>
  <c r="H134" i="2" s="1"/>
  <c r="C114" i="5"/>
  <c r="D115" i="2"/>
  <c r="E115" i="2"/>
  <c r="F115" i="2"/>
  <c r="G115" i="2"/>
  <c r="H107" i="1"/>
  <c r="C107" i="2"/>
  <c r="D159" i="2"/>
  <c r="G159" i="2"/>
  <c r="C175" i="5"/>
  <c r="D175" i="5" s="1"/>
  <c r="H198" i="1"/>
  <c r="D239" i="2"/>
  <c r="D161" i="5"/>
  <c r="C186" i="5"/>
  <c r="F188" i="5" s="1"/>
  <c r="F187" i="2"/>
  <c r="H106" i="2"/>
  <c r="G87" i="2"/>
  <c r="D87" i="2"/>
  <c r="H87" i="2" s="1"/>
  <c r="E87" i="2"/>
  <c r="E42" i="2"/>
  <c r="D42" i="2"/>
  <c r="I42" i="1"/>
  <c r="H245" i="1"/>
  <c r="F245" i="2" s="1"/>
  <c r="G125" i="2"/>
  <c r="E125" i="2"/>
  <c r="D125" i="2"/>
  <c r="H125" i="2" s="1"/>
  <c r="C86" i="2"/>
  <c r="H86" i="1"/>
  <c r="H147" i="1"/>
  <c r="C147" i="2"/>
  <c r="C149" i="1"/>
  <c r="E213" i="2"/>
  <c r="H213" i="1"/>
  <c r="G175" i="2"/>
  <c r="E228" i="2"/>
  <c r="C227" i="5"/>
  <c r="E212" i="2"/>
  <c r="G212" i="2"/>
  <c r="D212" i="2"/>
  <c r="H27" i="2"/>
  <c r="D222" i="2"/>
  <c r="E222" i="2"/>
  <c r="H222" i="2" s="1"/>
  <c r="G139" i="2"/>
  <c r="C139" i="2"/>
  <c r="F210" i="2"/>
  <c r="H210" i="2" s="1"/>
  <c r="D52" i="2"/>
  <c r="H52" i="2" s="1"/>
  <c r="I52" i="1"/>
  <c r="H193" i="1"/>
  <c r="E239" i="2"/>
  <c r="G42" i="2"/>
  <c r="C124" i="5"/>
  <c r="C139" i="5"/>
  <c r="D105" i="5"/>
  <c r="H64" i="2"/>
  <c r="D76" i="5"/>
  <c r="F140" i="2"/>
  <c r="C239" i="2"/>
  <c r="H239" i="2" s="1"/>
  <c r="E175" i="2"/>
  <c r="D140" i="2"/>
  <c r="H140" i="2" s="1"/>
  <c r="F204" i="2"/>
  <c r="H204" i="2" s="1"/>
  <c r="F87" i="2"/>
  <c r="E41" i="5"/>
  <c r="D105" i="2"/>
  <c r="G105" i="2"/>
  <c r="C104" i="5"/>
  <c r="D104" i="5" s="1"/>
  <c r="C187" i="2"/>
  <c r="H187" i="2" s="1"/>
  <c r="I10" i="1"/>
  <c r="I11" i="1"/>
  <c r="C9" i="5"/>
  <c r="D10" i="5" s="1"/>
  <c r="D166" i="2"/>
  <c r="C165" i="5"/>
  <c r="G176" i="2"/>
  <c r="H56" i="2"/>
  <c r="F193" i="2"/>
  <c r="F194" i="2"/>
  <c r="H75" i="2"/>
  <c r="F172" i="2"/>
  <c r="C171" i="5"/>
  <c r="C172" i="2"/>
  <c r="H172" i="2" s="1"/>
  <c r="D157" i="2"/>
  <c r="F212" i="2"/>
  <c r="C42" i="2"/>
  <c r="C228" i="2"/>
  <c r="F196" i="2"/>
  <c r="H136" i="2"/>
  <c r="G112" i="2"/>
  <c r="E112" i="2"/>
  <c r="F112" i="2"/>
  <c r="F83" i="2"/>
  <c r="I95" i="1"/>
  <c r="E83" i="2"/>
  <c r="D83" i="2"/>
  <c r="E76" i="2"/>
  <c r="H76" i="2" s="1"/>
  <c r="F76" i="2"/>
  <c r="G76" i="2"/>
  <c r="D56" i="2"/>
  <c r="E56" i="2"/>
  <c r="I57" i="1"/>
  <c r="C55" i="5"/>
  <c r="I56" i="1"/>
  <c r="D65" i="2"/>
  <c r="H65" i="2" s="1"/>
  <c r="C160" i="5"/>
  <c r="G161" i="2"/>
  <c r="D161" i="2"/>
  <c r="C161" i="2"/>
  <c r="H161" i="2" s="1"/>
  <c r="F161" i="2"/>
  <c r="H169" i="1"/>
  <c r="D136" i="5"/>
  <c r="F157" i="2"/>
  <c r="C174" i="5"/>
  <c r="F176" i="2"/>
  <c r="C176" i="2"/>
  <c r="H176" i="2" s="1"/>
  <c r="D187" i="2"/>
  <c r="H77" i="2"/>
  <c r="F199" i="2"/>
  <c r="H199" i="2" s="1"/>
  <c r="D81" i="5"/>
  <c r="E124" i="2"/>
  <c r="H47" i="2"/>
  <c r="C239" i="5"/>
  <c r="I14" i="1"/>
  <c r="C101" i="2"/>
  <c r="H101" i="2" s="1"/>
  <c r="D39" i="5"/>
  <c r="C19" i="5"/>
  <c r="E23" i="5" s="1"/>
  <c r="F101" i="2"/>
  <c r="C24" i="2"/>
  <c r="F24" i="2"/>
  <c r="G24" i="2"/>
  <c r="H20" i="2"/>
  <c r="C23" i="2"/>
  <c r="H23" i="2" s="1"/>
  <c r="I96" i="1"/>
  <c r="D62" i="2"/>
  <c r="I62" i="1"/>
  <c r="C61" i="5"/>
  <c r="G62" i="2"/>
  <c r="G68" i="2"/>
  <c r="D68" i="2"/>
  <c r="H68" i="2" s="1"/>
  <c r="H233" i="1"/>
  <c r="C111" i="2"/>
  <c r="H114" i="1"/>
  <c r="D49" i="2"/>
  <c r="H49" i="2" s="1"/>
  <c r="E49" i="2"/>
  <c r="H138" i="1"/>
  <c r="C146" i="2"/>
  <c r="H146" i="2" s="1"/>
  <c r="C83" i="2"/>
  <c r="H83" i="2" s="1"/>
  <c r="D101" i="2"/>
  <c r="E62" i="2"/>
  <c r="D24" i="2"/>
  <c r="F146" i="2"/>
  <c r="H69" i="2"/>
  <c r="C131" i="2"/>
  <c r="H131" i="2" s="1"/>
  <c r="E111" i="2"/>
  <c r="D111" i="2"/>
  <c r="C35" i="2"/>
  <c r="F35" i="2"/>
  <c r="C13" i="5"/>
  <c r="F14" i="2"/>
  <c r="E14" i="2"/>
  <c r="F70" i="2"/>
  <c r="C69" i="5"/>
  <c r="E70" i="2"/>
  <c r="H70" i="2" s="1"/>
  <c r="C133" i="2"/>
  <c r="H133" i="2" s="1"/>
  <c r="F111" i="2"/>
  <c r="C112" i="2"/>
  <c r="H18" i="2"/>
  <c r="F84" i="2"/>
  <c r="D70" i="2"/>
  <c r="D14" i="2"/>
  <c r="C102" i="5"/>
  <c r="D103" i="5" s="1"/>
  <c r="C13" i="2"/>
  <c r="H13" i="2" s="1"/>
  <c r="H168" i="1"/>
  <c r="I89" i="1"/>
  <c r="C84" i="2"/>
  <c r="H84" i="2" s="1"/>
  <c r="C67" i="5"/>
  <c r="C91" i="2"/>
  <c r="H91" i="2" s="1"/>
  <c r="G91" i="2"/>
  <c r="F72" i="2"/>
  <c r="G72" i="2"/>
  <c r="D194" i="2"/>
  <c r="E84" i="2"/>
  <c r="I49" i="1"/>
  <c r="C117" i="1"/>
  <c r="C115" i="2"/>
  <c r="C81" i="2"/>
  <c r="G46" i="2"/>
  <c r="F46" i="2"/>
  <c r="H46" i="2" s="1"/>
  <c r="F165" i="2"/>
  <c r="H165" i="2" s="1"/>
  <c r="G165" i="2"/>
  <c r="C51" i="2"/>
  <c r="H51" i="2" s="1"/>
  <c r="G84" i="2"/>
  <c r="C28" i="5"/>
  <c r="C162" i="2"/>
  <c r="H162" i="2" s="1"/>
  <c r="E77" i="2"/>
  <c r="D72" i="2"/>
  <c r="H72" i="2" s="1"/>
  <c r="I23" i="1"/>
  <c r="E138" i="2"/>
  <c r="C31" i="5"/>
  <c r="E32" i="2"/>
  <c r="H32" i="2" s="1"/>
  <c r="H196" i="1"/>
  <c r="H205" i="1"/>
  <c r="H217" i="1"/>
  <c r="D55" i="2"/>
  <c r="H55" i="2" s="1"/>
  <c r="I63" i="1"/>
  <c r="F78" i="2"/>
  <c r="H78" i="2" s="1"/>
  <c r="G7" i="6"/>
  <c r="E74" i="2"/>
  <c r="J7" i="6"/>
  <c r="C46" i="5"/>
  <c r="I7" i="6"/>
  <c r="G67" i="2"/>
  <c r="H67" i="2" s="1"/>
  <c r="C255" i="1"/>
  <c r="C169" i="2" l="1"/>
  <c r="G169" i="2"/>
  <c r="C168" i="5"/>
  <c r="E169" i="2"/>
  <c r="F169" i="2"/>
  <c r="D169" i="2"/>
  <c r="D203" i="5"/>
  <c r="D202" i="5"/>
  <c r="D240" i="5"/>
  <c r="E242" i="5"/>
  <c r="H211" i="2"/>
  <c r="E68" i="5"/>
  <c r="D67" i="5"/>
  <c r="G74" i="5"/>
  <c r="D69" i="5"/>
  <c r="E71" i="5"/>
  <c r="E74" i="5"/>
  <c r="F74" i="5"/>
  <c r="D62" i="5"/>
  <c r="E62" i="5"/>
  <c r="D61" i="5"/>
  <c r="F62" i="5"/>
  <c r="E65" i="5"/>
  <c r="G182" i="5"/>
  <c r="D171" i="5"/>
  <c r="H182" i="5"/>
  <c r="D172" i="5"/>
  <c r="D139" i="5"/>
  <c r="H212" i="2"/>
  <c r="D115" i="5"/>
  <c r="D191" i="5"/>
  <c r="D127" i="5"/>
  <c r="H182" i="2"/>
  <c r="H150" i="2"/>
  <c r="D79" i="5"/>
  <c r="E80" i="5"/>
  <c r="E83" i="5"/>
  <c r="D239" i="5"/>
  <c r="D214" i="5"/>
  <c r="D215" i="5"/>
  <c r="C195" i="5"/>
  <c r="F206" i="5" s="1"/>
  <c r="G196" i="2"/>
  <c r="E196" i="2"/>
  <c r="C196" i="2"/>
  <c r="D196" i="2"/>
  <c r="C137" i="5"/>
  <c r="E140" i="5" s="1"/>
  <c r="C138" i="2"/>
  <c r="G138" i="2"/>
  <c r="F138" i="2"/>
  <c r="D70" i="5"/>
  <c r="D227" i="5"/>
  <c r="D138" i="2"/>
  <c r="C122" i="5"/>
  <c r="E123" i="2"/>
  <c r="G123" i="2"/>
  <c r="I88" i="1"/>
  <c r="D123" i="2"/>
  <c r="H123" i="2" s="1"/>
  <c r="I87" i="1"/>
  <c r="F123" i="2"/>
  <c r="H208" i="2"/>
  <c r="D206" i="5"/>
  <c r="D207" i="5"/>
  <c r="D231" i="5"/>
  <c r="H242" i="5"/>
  <c r="H99" i="2"/>
  <c r="C233" i="5"/>
  <c r="G234" i="2"/>
  <c r="D234" i="2"/>
  <c r="E234" i="2"/>
  <c r="C234" i="2"/>
  <c r="H234" i="2" s="1"/>
  <c r="H148" i="2"/>
  <c r="D230" i="2"/>
  <c r="G230" i="2"/>
  <c r="C230" i="2"/>
  <c r="H230" i="2" s="1"/>
  <c r="C229" i="5"/>
  <c r="E230" i="2"/>
  <c r="F168" i="2"/>
  <c r="G168" i="2"/>
  <c r="C167" i="5"/>
  <c r="D167" i="5" s="1"/>
  <c r="C168" i="2"/>
  <c r="E168" i="2"/>
  <c r="D168" i="2"/>
  <c r="H81" i="2"/>
  <c r="D13" i="5"/>
  <c r="D14" i="5"/>
  <c r="E17" i="5"/>
  <c r="E14" i="5"/>
  <c r="H170" i="5"/>
  <c r="F164" i="5"/>
  <c r="D160" i="5"/>
  <c r="E164" i="5"/>
  <c r="E161" i="5"/>
  <c r="E198" i="2"/>
  <c r="C197" i="5"/>
  <c r="C198" i="2"/>
  <c r="D198" i="2"/>
  <c r="G198" i="2"/>
  <c r="H223" i="2"/>
  <c r="G96" i="2"/>
  <c r="F96" i="2"/>
  <c r="D96" i="2"/>
  <c r="E96" i="2"/>
  <c r="C95" i="5"/>
  <c r="F68" i="5"/>
  <c r="C96" i="2"/>
  <c r="H194" i="2"/>
  <c r="H122" i="2"/>
  <c r="E252" i="1"/>
  <c r="E253" i="1" s="1"/>
  <c r="D230" i="5"/>
  <c r="C216" i="5"/>
  <c r="G217" i="2"/>
  <c r="C217" i="2"/>
  <c r="E217" i="2"/>
  <c r="F217" i="2"/>
  <c r="C204" i="5"/>
  <c r="G205" i="2"/>
  <c r="C205" i="2"/>
  <c r="H205" i="2" s="1"/>
  <c r="E205" i="2"/>
  <c r="D205" i="2"/>
  <c r="F205" i="2"/>
  <c r="D31" i="5"/>
  <c r="E32" i="5"/>
  <c r="D32" i="5"/>
  <c r="E35" i="5"/>
  <c r="G190" i="2"/>
  <c r="E190" i="2"/>
  <c r="C190" i="2"/>
  <c r="H190" i="2" s="1"/>
  <c r="D190" i="2"/>
  <c r="C189" i="5"/>
  <c r="D190" i="5" s="1"/>
  <c r="H117" i="1"/>
  <c r="H35" i="2"/>
  <c r="H62" i="2"/>
  <c r="H105" i="2"/>
  <c r="H180" i="2"/>
  <c r="H115" i="2"/>
  <c r="H14" i="2"/>
  <c r="G114" i="2"/>
  <c r="D114" i="2"/>
  <c r="E114" i="2"/>
  <c r="I79" i="1"/>
  <c r="I78" i="1"/>
  <c r="C113" i="5"/>
  <c r="D114" i="5" s="1"/>
  <c r="F114" i="2"/>
  <c r="H231" i="2"/>
  <c r="H224" i="2"/>
  <c r="F230" i="5"/>
  <c r="E227" i="5"/>
  <c r="D225" i="5"/>
  <c r="E127" i="2"/>
  <c r="D127" i="2"/>
  <c r="H127" i="2" s="1"/>
  <c r="G127" i="2"/>
  <c r="F127" i="2"/>
  <c r="C126" i="5"/>
  <c r="E131" i="5" s="1"/>
  <c r="D130" i="5"/>
  <c r="D129" i="5"/>
  <c r="D217" i="2"/>
  <c r="F120" i="2"/>
  <c r="C119" i="5"/>
  <c r="I84" i="1"/>
  <c r="E120" i="2"/>
  <c r="D120" i="2"/>
  <c r="H120" i="2" s="1"/>
  <c r="G120" i="2"/>
  <c r="F38" i="5"/>
  <c r="H236" i="2"/>
  <c r="C114" i="2"/>
  <c r="D55" i="5"/>
  <c r="E56" i="5"/>
  <c r="D56" i="5"/>
  <c r="C213" i="2"/>
  <c r="H213" i="2" s="1"/>
  <c r="D213" i="2"/>
  <c r="G213" i="2"/>
  <c r="C212" i="5"/>
  <c r="E212" i="5" s="1"/>
  <c r="H159" i="2"/>
  <c r="H157" i="2"/>
  <c r="E59" i="5"/>
  <c r="C135" i="2"/>
  <c r="C134" i="5"/>
  <c r="G135" i="2"/>
  <c r="D135" i="2"/>
  <c r="E135" i="2"/>
  <c r="D140" i="5"/>
  <c r="H174" i="2"/>
  <c r="D68" i="5"/>
  <c r="D121" i="5"/>
  <c r="E122" i="5"/>
  <c r="H200" i="2"/>
  <c r="D254" i="1"/>
  <c r="D183" i="5"/>
  <c r="D182" i="5"/>
  <c r="E193" i="2"/>
  <c r="C192" i="5"/>
  <c r="G194" i="5" s="1"/>
  <c r="C193" i="2"/>
  <c r="G193" i="2"/>
  <c r="D193" i="2"/>
  <c r="C244" i="5"/>
  <c r="C245" i="2"/>
  <c r="D245" i="2"/>
  <c r="E245" i="2"/>
  <c r="G245" i="2"/>
  <c r="D46" i="5"/>
  <c r="D47" i="5"/>
  <c r="F50" i="5"/>
  <c r="E47" i="5"/>
  <c r="H111" i="2"/>
  <c r="H98" i="5"/>
  <c r="D91" i="5"/>
  <c r="E92" i="5"/>
  <c r="D92" i="5"/>
  <c r="D201" i="2"/>
  <c r="G201" i="2"/>
  <c r="C201" i="2"/>
  <c r="E201" i="2"/>
  <c r="C200" i="5"/>
  <c r="D199" i="5"/>
  <c r="E200" i="5"/>
  <c r="D233" i="2"/>
  <c r="E233" i="2"/>
  <c r="F233" i="2"/>
  <c r="G233" i="2"/>
  <c r="C232" i="5"/>
  <c r="D232" i="5" s="1"/>
  <c r="C233" i="2"/>
  <c r="H24" i="2"/>
  <c r="H228" i="2"/>
  <c r="H166" i="2"/>
  <c r="F20" i="5"/>
  <c r="H139" i="2"/>
  <c r="H149" i="1"/>
  <c r="C149" i="2"/>
  <c r="C106" i="5"/>
  <c r="G110" i="5" s="1"/>
  <c r="D107" i="2"/>
  <c r="H107" i="2" s="1"/>
  <c r="F107" i="2"/>
  <c r="G107" i="2"/>
  <c r="E107" i="2"/>
  <c r="H183" i="2"/>
  <c r="H191" i="2"/>
  <c r="G62" i="5"/>
  <c r="D80" i="5"/>
  <c r="H225" i="2"/>
  <c r="D141" i="5"/>
  <c r="D151" i="5"/>
  <c r="E155" i="5"/>
  <c r="D193" i="5"/>
  <c r="F56" i="5"/>
  <c r="C247" i="2"/>
  <c r="D174" i="5"/>
  <c r="E176" i="5"/>
  <c r="E179" i="5"/>
  <c r="D128" i="5"/>
  <c r="H227" i="2"/>
  <c r="F213" i="2"/>
  <c r="F128" i="5"/>
  <c r="E125" i="5"/>
  <c r="D124" i="5"/>
  <c r="D125" i="5"/>
  <c r="D186" i="5"/>
  <c r="E188" i="5"/>
  <c r="H194" i="5"/>
  <c r="D187" i="5"/>
  <c r="H110" i="5"/>
  <c r="E104" i="5"/>
  <c r="F104" i="5"/>
  <c r="D102" i="5"/>
  <c r="D150" i="5"/>
  <c r="D166" i="5"/>
  <c r="E167" i="5"/>
  <c r="F170" i="5"/>
  <c r="D165" i="5"/>
  <c r="H112" i="2"/>
  <c r="H42" i="2"/>
  <c r="G230" i="5"/>
  <c r="D220" i="5"/>
  <c r="E221" i="5"/>
  <c r="H230" i="5"/>
  <c r="F224" i="5"/>
  <c r="D221" i="5"/>
  <c r="E224" i="5"/>
  <c r="C228" i="5"/>
  <c r="D229" i="2"/>
  <c r="E229" i="2"/>
  <c r="C229" i="2"/>
  <c r="G229" i="2"/>
  <c r="D236" i="5"/>
  <c r="D237" i="5"/>
  <c r="C208" i="5"/>
  <c r="E209" i="2"/>
  <c r="D209" i="2"/>
  <c r="C209" i="2"/>
  <c r="G209" i="2"/>
  <c r="H232" i="2"/>
  <c r="G235" i="2"/>
  <c r="D235" i="2"/>
  <c r="C234" i="5"/>
  <c r="D235" i="5" s="1"/>
  <c r="E235" i="2"/>
  <c r="C235" i="2"/>
  <c r="E143" i="5"/>
  <c r="D29" i="5"/>
  <c r="E29" i="5"/>
  <c r="F32" i="5"/>
  <c r="D28" i="5"/>
  <c r="D19" i="5"/>
  <c r="F26" i="5"/>
  <c r="F147" i="2"/>
  <c r="E147" i="2"/>
  <c r="H147" i="2" s="1"/>
  <c r="C146" i="5"/>
  <c r="D147" i="5" s="1"/>
  <c r="G147" i="2"/>
  <c r="D147" i="2"/>
  <c r="H192" i="2"/>
  <c r="E185" i="5"/>
  <c r="D181" i="5"/>
  <c r="D176" i="5"/>
  <c r="D177" i="5"/>
  <c r="H128" i="2"/>
  <c r="G38" i="5"/>
  <c r="F235" i="2"/>
  <c r="F80" i="5"/>
  <c r="C85" i="5"/>
  <c r="E86" i="2"/>
  <c r="G86" i="2"/>
  <c r="D86" i="2"/>
  <c r="H86" i="2" s="1"/>
  <c r="I98" i="1"/>
  <c r="F86" i="2"/>
  <c r="I99" i="1"/>
  <c r="H126" i="2"/>
  <c r="D153" i="5"/>
  <c r="D152" i="5"/>
  <c r="F135" i="2"/>
  <c r="H241" i="2"/>
  <c r="D210" i="5"/>
  <c r="D211" i="5"/>
  <c r="D194" i="5"/>
  <c r="D85" i="5" l="1"/>
  <c r="E89" i="5"/>
  <c r="F86" i="5"/>
  <c r="E86" i="5"/>
  <c r="D86" i="5"/>
  <c r="G86" i="5"/>
  <c r="H217" i="2"/>
  <c r="H209" i="2"/>
  <c r="D149" i="2"/>
  <c r="H149" i="2" s="1"/>
  <c r="F149" i="2"/>
  <c r="G149" i="2"/>
  <c r="E149" i="2"/>
  <c r="C148" i="5"/>
  <c r="G170" i="5" s="1"/>
  <c r="D201" i="5"/>
  <c r="D200" i="5"/>
  <c r="F247" i="2"/>
  <c r="D216" i="5"/>
  <c r="E218" i="5"/>
  <c r="D217" i="5"/>
  <c r="E239" i="5"/>
  <c r="F218" i="5"/>
  <c r="D106" i="5"/>
  <c r="F110" i="5"/>
  <c r="E110" i="5"/>
  <c r="E107" i="5"/>
  <c r="D107" i="5"/>
  <c r="E197" i="5"/>
  <c r="F200" i="5"/>
  <c r="G206" i="5"/>
  <c r="D196" i="5"/>
  <c r="D195" i="5"/>
  <c r="H206" i="5"/>
  <c r="E134" i="5"/>
  <c r="D134" i="5"/>
  <c r="D135" i="5"/>
  <c r="F248" i="2"/>
  <c r="G134" i="5"/>
  <c r="H135" i="2"/>
  <c r="D123" i="5"/>
  <c r="D122" i="5"/>
  <c r="H201" i="2"/>
  <c r="D255" i="1"/>
  <c r="E203" i="5"/>
  <c r="H245" i="2"/>
  <c r="D198" i="5"/>
  <c r="D197" i="5"/>
  <c r="F242" i="5"/>
  <c r="E119" i="5"/>
  <c r="D120" i="5"/>
  <c r="D119" i="5"/>
  <c r="E254" i="1"/>
  <c r="H198" i="2"/>
  <c r="H233" i="2"/>
  <c r="D244" i="5"/>
  <c r="E245" i="5"/>
  <c r="D245" i="5"/>
  <c r="H168" i="2"/>
  <c r="H138" i="2"/>
  <c r="H235" i="2"/>
  <c r="H229" i="2"/>
  <c r="C253" i="1"/>
  <c r="C257" i="1" s="1"/>
  <c r="D233" i="5"/>
  <c r="D137" i="5"/>
  <c r="F140" i="5"/>
  <c r="D138" i="5"/>
  <c r="G146" i="5"/>
  <c r="H146" i="5"/>
  <c r="E137" i="5"/>
  <c r="F176" i="5"/>
  <c r="D168" i="5"/>
  <c r="E170" i="5"/>
  <c r="D169" i="5"/>
  <c r="C116" i="5"/>
  <c r="G122" i="5" s="1"/>
  <c r="D117" i="2"/>
  <c r="E117" i="2"/>
  <c r="G117" i="2"/>
  <c r="I82" i="1"/>
  <c r="I81" i="1"/>
  <c r="F117" i="2"/>
  <c r="H96" i="2"/>
  <c r="E236" i="5"/>
  <c r="D234" i="5"/>
  <c r="H134" i="5"/>
  <c r="G98" i="5"/>
  <c r="H193" i="2"/>
  <c r="E113" i="5"/>
  <c r="H122" i="5"/>
  <c r="D113" i="5"/>
  <c r="F116" i="5"/>
  <c r="C117" i="2"/>
  <c r="G242" i="5"/>
  <c r="H196" i="2"/>
  <c r="E173" i="5"/>
  <c r="H169" i="2"/>
  <c r="D208" i="5"/>
  <c r="E209" i="5"/>
  <c r="D209" i="5"/>
  <c r="F212" i="5"/>
  <c r="H218" i="5"/>
  <c r="G218" i="5"/>
  <c r="D212" i="5"/>
  <c r="D213" i="5"/>
  <c r="E215" i="5"/>
  <c r="D228" i="5"/>
  <c r="E230" i="5"/>
  <c r="E194" i="5"/>
  <c r="D192" i="5"/>
  <c r="F134" i="5"/>
  <c r="D189" i="5"/>
  <c r="F194" i="5"/>
  <c r="E191" i="5"/>
  <c r="E206" i="5"/>
  <c r="D205" i="5"/>
  <c r="D204" i="5"/>
  <c r="D95" i="5"/>
  <c r="E95" i="5"/>
  <c r="D96" i="5"/>
  <c r="E98" i="5"/>
  <c r="F98" i="5"/>
  <c r="F236" i="5"/>
  <c r="F92" i="5"/>
  <c r="D247" i="2"/>
  <c r="E247" i="2"/>
  <c r="C246" i="5"/>
  <c r="G247" i="2"/>
  <c r="D146" i="5"/>
  <c r="E146" i="5"/>
  <c r="F146" i="5"/>
  <c r="H114" i="2"/>
  <c r="D126" i="5"/>
  <c r="E128" i="5"/>
  <c r="D229" i="5"/>
  <c r="E233" i="5"/>
  <c r="H247" i="2" l="1"/>
  <c r="C260" i="1"/>
  <c r="D148" i="5"/>
  <c r="G158" i="5"/>
  <c r="E149" i="5"/>
  <c r="F152" i="5"/>
  <c r="H158" i="5"/>
  <c r="E152" i="5"/>
  <c r="D149" i="5"/>
  <c r="F158" i="5"/>
  <c r="H117" i="2"/>
  <c r="D256" i="1"/>
  <c r="D257" i="1" s="1"/>
  <c r="F249" i="2"/>
  <c r="D246" i="5"/>
  <c r="E255" i="1"/>
  <c r="C258" i="1"/>
  <c r="C256" i="1"/>
  <c r="G248" i="2"/>
  <c r="E248" i="2"/>
  <c r="C247" i="5"/>
  <c r="D247" i="5" s="1"/>
  <c r="D248" i="2"/>
  <c r="C248" i="2"/>
  <c r="D117" i="5"/>
  <c r="D116" i="5"/>
  <c r="E116" i="5"/>
  <c r="F122" i="5"/>
  <c r="H248" i="2" l="1"/>
  <c r="E256" i="1"/>
  <c r="C259" i="1"/>
  <c r="D258" i="1"/>
  <c r="D249" i="2"/>
  <c r="G249" i="2"/>
  <c r="C249" i="2"/>
  <c r="C248" i="5"/>
  <c r="E249" i="2"/>
  <c r="C263" i="1"/>
  <c r="C261" i="1"/>
  <c r="F251" i="1"/>
  <c r="C266" i="1" l="1"/>
  <c r="D248" i="5"/>
  <c r="E248" i="5"/>
  <c r="F248" i="5"/>
  <c r="C249" i="5"/>
  <c r="G250" i="2"/>
  <c r="D250" i="2"/>
  <c r="E250" i="2"/>
  <c r="C250" i="2"/>
  <c r="D259" i="1"/>
  <c r="F250" i="2"/>
  <c r="F252" i="1"/>
  <c r="H251" i="1"/>
  <c r="C264" i="1"/>
  <c r="C262" i="1"/>
  <c r="H249" i="2"/>
  <c r="E257" i="1"/>
  <c r="H250" i="2" l="1"/>
  <c r="E258" i="1"/>
  <c r="D249" i="5"/>
  <c r="C267" i="1"/>
  <c r="D260" i="1"/>
  <c r="C265" i="1"/>
  <c r="C251" i="2"/>
  <c r="G251" i="2"/>
  <c r="C250" i="5"/>
  <c r="D250" i="5" s="1"/>
  <c r="D251" i="2"/>
  <c r="E251" i="2"/>
  <c r="F251" i="2"/>
  <c r="F253" i="1"/>
  <c r="H252" i="1"/>
  <c r="F254" i="1" l="1"/>
  <c r="H253" i="1"/>
  <c r="D261" i="1"/>
  <c r="C252" i="2"/>
  <c r="D252" i="2"/>
  <c r="G252" i="2"/>
  <c r="C251" i="5"/>
  <c r="E252" i="2"/>
  <c r="F252" i="2"/>
  <c r="H251" i="2"/>
  <c r="E259" i="1"/>
  <c r="D251" i="5" l="1"/>
  <c r="E251" i="5"/>
  <c r="H252" i="2"/>
  <c r="D262" i="1"/>
  <c r="C252" i="5"/>
  <c r="G253" i="2"/>
  <c r="D253" i="2"/>
  <c r="E253" i="2"/>
  <c r="C253" i="2"/>
  <c r="E260" i="1"/>
  <c r="F255" i="1"/>
  <c r="H254" i="1"/>
  <c r="F253" i="2"/>
  <c r="H253" i="2" l="1"/>
  <c r="D252" i="5"/>
  <c r="E261" i="1"/>
  <c r="D263" i="1"/>
  <c r="C254" i="2"/>
  <c r="C253" i="5"/>
  <c r="D253" i="5" s="1"/>
  <c r="G254" i="2"/>
  <c r="D254" i="2"/>
  <c r="E254" i="2"/>
  <c r="F254" i="2"/>
  <c r="F256" i="1"/>
  <c r="H255" i="1"/>
  <c r="D264" i="1" l="1"/>
  <c r="H254" i="2"/>
  <c r="E262" i="1"/>
  <c r="F257" i="1"/>
  <c r="H256" i="1"/>
  <c r="C255" i="2"/>
  <c r="D255" i="2"/>
  <c r="C254" i="5"/>
  <c r="E254" i="5" s="1"/>
  <c r="G255" i="2"/>
  <c r="E255" i="2"/>
  <c r="F255" i="2"/>
  <c r="F254" i="5" l="1"/>
  <c r="D254" i="5"/>
  <c r="G254" i="5"/>
  <c r="H255" i="2"/>
  <c r="G256" i="2"/>
  <c r="C255" i="5"/>
  <c r="D256" i="2"/>
  <c r="C256" i="2"/>
  <c r="E256" i="2"/>
  <c r="F256" i="2"/>
  <c r="F258" i="1"/>
  <c r="H257" i="1"/>
  <c r="F257" i="2" s="1"/>
  <c r="E263" i="1"/>
  <c r="H254" i="5"/>
  <c r="D265" i="1"/>
  <c r="H256" i="2" l="1"/>
  <c r="G257" i="2"/>
  <c r="C256" i="5"/>
  <c r="D256" i="5" s="1"/>
  <c r="C257" i="2"/>
  <c r="D257" i="2"/>
  <c r="E257" i="2"/>
  <c r="D266" i="1"/>
  <c r="D255" i="5"/>
  <c r="F259" i="1"/>
  <c r="H258" i="1"/>
  <c r="E264" i="1"/>
  <c r="D267" i="1" l="1"/>
  <c r="E265" i="1"/>
  <c r="H257" i="2"/>
  <c r="F260" i="1"/>
  <c r="H259" i="1"/>
  <c r="F259" i="2" s="1"/>
  <c r="C257" i="5"/>
  <c r="G258" i="2"/>
  <c r="C258" i="2"/>
  <c r="D258" i="2"/>
  <c r="E258" i="2"/>
  <c r="F258" i="2"/>
  <c r="D257" i="5" l="1"/>
  <c r="E257" i="5"/>
  <c r="C258" i="5"/>
  <c r="G259" i="2"/>
  <c r="C259" i="2"/>
  <c r="D259" i="2"/>
  <c r="E259" i="2"/>
  <c r="F261" i="1"/>
  <c r="H260" i="1"/>
  <c r="E266" i="1"/>
  <c r="H258" i="2"/>
  <c r="G260" i="2" l="1"/>
  <c r="C260" i="2"/>
  <c r="C259" i="5"/>
  <c r="D259" i="5" s="1"/>
  <c r="D260" i="2"/>
  <c r="E260" i="2"/>
  <c r="H259" i="2"/>
  <c r="F260" i="2"/>
  <c r="E267" i="1"/>
  <c r="F262" i="1"/>
  <c r="H261" i="1"/>
  <c r="D258" i="5"/>
  <c r="C261" i="2" l="1"/>
  <c r="G261" i="2"/>
  <c r="C260" i="5"/>
  <c r="D261" i="2"/>
  <c r="E261" i="2"/>
  <c r="F261" i="2"/>
  <c r="F263" i="1"/>
  <c r="H262" i="1"/>
  <c r="H260" i="2"/>
  <c r="E260" i="5"/>
  <c r="G262" i="2" l="1"/>
  <c r="C261" i="5"/>
  <c r="C262" i="2"/>
  <c r="D262" i="2"/>
  <c r="E262" i="2"/>
  <c r="F262" i="2"/>
  <c r="F264" i="1"/>
  <c r="H263" i="1"/>
  <c r="F263" i="2" s="1"/>
  <c r="H261" i="2"/>
  <c r="D260" i="5"/>
  <c r="F260" i="5"/>
  <c r="G263" i="2" l="1"/>
  <c r="C262" i="5"/>
  <c r="C263" i="2"/>
  <c r="D263" i="2"/>
  <c r="E263" i="2"/>
  <c r="F265" i="1"/>
  <c r="H264" i="1"/>
  <c r="H262" i="2"/>
  <c r="D261" i="5"/>
  <c r="C263" i="5" l="1"/>
  <c r="G264" i="2"/>
  <c r="C264" i="2"/>
  <c r="D264" i="2"/>
  <c r="E264" i="2"/>
  <c r="F264" i="2"/>
  <c r="F266" i="1"/>
  <c r="H265" i="1"/>
  <c r="H263" i="2"/>
  <c r="D262" i="5"/>
  <c r="C265" i="2" l="1"/>
  <c r="C264" i="5"/>
  <c r="G265" i="2"/>
  <c r="D265" i="2"/>
  <c r="E265" i="2"/>
  <c r="F267" i="1"/>
  <c r="H266" i="1"/>
  <c r="F265" i="2"/>
  <c r="H264" i="2"/>
  <c r="D263" i="5"/>
  <c r="E263" i="5"/>
  <c r="C266" i="2" l="1"/>
  <c r="C265" i="5"/>
  <c r="G266" i="2"/>
  <c r="D266" i="2"/>
  <c r="E266" i="2"/>
  <c r="F266" i="2"/>
  <c r="H267" i="1"/>
  <c r="H265" i="2"/>
  <c r="D264" i="5"/>
  <c r="C267" i="2" l="1"/>
  <c r="G267" i="2"/>
  <c r="C266" i="5"/>
  <c r="F266" i="5" s="1"/>
  <c r="D267" i="2"/>
  <c r="E267" i="2"/>
  <c r="F267" i="2"/>
  <c r="H266" i="2"/>
  <c r="D265" i="5"/>
  <c r="H266" i="5"/>
  <c r="H267" i="2" l="1"/>
  <c r="D266" i="5"/>
  <c r="G266" i="5"/>
  <c r="E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A4FB6AAF-200C-443E-912D-EB6509D8094A}">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26734B5E-9AD8-4935-8A29-D75DFB8EBC69}">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8" authorId="0" shapeId="0" xr:uid="{CE084AA6-2230-461A-8B5C-3A17A455B7F2}">
      <text>
        <r>
          <rPr>
            <sz val="8"/>
            <color indexed="81"/>
            <rFont val="Tahoma"/>
            <family val="2"/>
          </rPr>
          <t>Dette indeks skal dække omkostninger til reparation og vedligeholdelse</t>
        </r>
      </text>
    </comment>
    <comment ref="A10" authorId="1" shapeId="0" xr:uid="{3704B198-2905-4385-84A3-C374E5CEDAA7}">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<sst xmlns="http://schemas.openxmlformats.org/spreadsheetml/2006/main" count="994" uniqueCount="91">
  <si>
    <t>Indeks</t>
  </si>
  <si>
    <t>År</t>
  </si>
  <si>
    <t>Måned</t>
  </si>
  <si>
    <t>Løn</t>
  </si>
  <si>
    <t>Diesel</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</si>
  <si>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</si>
  <si>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</si>
  <si>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</si>
  <si>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</si>
  <si>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</si>
  <si>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</si>
  <si>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</si>
  <si>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</si>
  <si>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</si>
  <si>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</si>
  <si>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</si>
  <si>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</si>
  <si>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</si>
  <si>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</si>
  <si>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</si>
  <si>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</si>
  <si>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</si>
  <si>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</si>
  <si>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</si>
  <si>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</si>
  <si>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</si>
  <si>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</si>
  <si>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</si>
  <si>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</si>
  <si>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</si>
  <si>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</si>
  <si>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</si>
  <si>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</si>
  <si>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</si>
  <si>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</si>
  <si>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</si>
  <si>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</si>
  <si>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</si>
  <si>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</si>
  <si>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</si>
  <si>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</si>
  <si>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</si>
  <si>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</si>
  <si>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</si>
  <si>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</si>
  <si>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</si>
  <si>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</si>
  <si>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</si>
  <si>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</si>
  <si>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</si>
  <si>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</si>
  <si>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</si>
  <si>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</si>
  <si>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</si>
  <si>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</si>
  <si>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</si>
  <si>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</si>
  <si>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</si>
  <si>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</si>
  <si>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</si>
  <si>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</si>
  <si>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</si>
  <si>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</si>
  <si>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</si>
  <si>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</si>
  <si>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</si>
  <si>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</si>
  <si>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</si>
  <si>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t>
  </si>
  <si>
    <t>Note 5</t>
  </si>
  <si>
    <t>Note 5:</t>
  </si>
  <si>
    <r>
      <rPr>
        <b/>
        <sz val="10"/>
        <rFont val="Arial"/>
        <family val="2"/>
      </rPr>
      <t xml:space="preserve">Indkomst, forbrug og priser: </t>
    </r>
    <r>
      <rPr>
        <sz val="10"/>
        <rFont val="Arial"/>
        <family val="2"/>
      </rPr>
      <t>Prisindeks .. PRIS111: Forbrugerprisindeks - 07.2.2.1 Diesel</t>
    </r>
  </si>
  <si>
    <r>
      <rPr>
        <b/>
        <sz val="10"/>
        <rFont val="Arial"/>
        <family val="2"/>
      </rPr>
      <t>Indkomst, forbrug og priser:</t>
    </r>
    <r>
      <rPr>
        <sz val="10"/>
        <rFont val="Arial"/>
        <family val="2"/>
      </rPr>
      <t xml:space="preserve"> Prisindeks .. PRIS111: Forbrugerprisindeks - 00. I ALT</t>
    </r>
  </si>
  <si>
    <t>Udgået PRIS6 ultimo 2015 ændres til PRIS111 iht. Danmark Statistik</t>
  </si>
  <si>
    <t>Pris6  udgår og offentliggøres sidste gang december 2015 men ændres til PRIS111 primo 2016 iht. skrivelse fra Danmark Statistik</t>
  </si>
  <si>
    <t>Note 4a:</t>
  </si>
  <si>
    <t>Note 4b</t>
  </si>
  <si>
    <t>PRIS10 udgår og er ændret til PRIS 11.87 i alt,  iht. aftale mellem DB/DI og Trafikselskaberne i DK</t>
  </si>
  <si>
    <r>
      <rPr>
        <b/>
        <sz val="10"/>
        <rFont val="Arial"/>
        <family val="2"/>
      </rPr>
      <t>Indkomst, forbrug og priser:</t>
    </r>
    <r>
      <rPr>
        <sz val="10"/>
        <rFont val="Arial"/>
        <family val="2"/>
      </rPr>
      <t xml:space="preserve"> Prisindeks PRIS10 Prisindeks for indenlandsk vareforsyning - Maskiner og værktøjer samt varetransportmidler -  I ALT.
1.11.2014 PRIS10 UDGÅR og erstattes af PRIS11.87 køretøjer og dele detil I ALT.
</t>
    </r>
    <r>
      <rPr>
        <sz val="10"/>
        <color indexed="44"/>
        <rFont val="Arial"/>
        <family val="2"/>
      </rPr>
      <t xml:space="preserve">Erstattes 1.3.2019 af </t>
    </r>
    <r>
      <rPr>
        <b/>
        <sz val="10"/>
        <color indexed="44"/>
        <rFont val="Arial"/>
        <family val="2"/>
      </rPr>
      <t xml:space="preserve">PRIS1115.87 I ALT. </t>
    </r>
    <r>
      <rPr>
        <sz val="10"/>
        <color indexed="44"/>
        <rFont val="Arial"/>
        <family val="2"/>
      </rPr>
      <t>Indeksbasisåret er skiftet fra 2010=100 til 2015=100</t>
    </r>
  </si>
  <si>
    <t>Pris 11.87 erstattes fra 1.3.2019 af PRIS1115.87 I ALT. Indeksbasisåret er skiftet fra 2010=100 til 2015=100</t>
  </si>
  <si>
    <r>
      <rPr>
        <b/>
        <sz val="10"/>
        <rFont val="Arial"/>
        <family val="2"/>
      </rPr>
      <t xml:space="preserve">Udgår: Penge og kapitalmarked: </t>
    </r>
    <r>
      <rPr>
        <sz val="10"/>
        <rFont val="Arial"/>
        <family val="2"/>
      </rPr>
      <t xml:space="preserve">Rente- og kursudvikling .. </t>
    </r>
    <r>
      <rPr>
        <sz val="10"/>
        <rFont val="Arial"/>
        <family val="2"/>
      </rPr>
      <t xml:space="preserve">MPK3: Samtlige serier (Obligationsrentegennemsnit)
</t>
    </r>
    <r>
      <rPr>
        <b/>
        <sz val="10"/>
        <rFont val="Arial"/>
        <family val="2"/>
      </rPr>
      <t>Ændres fra 2021</t>
    </r>
    <r>
      <rPr>
        <sz val="10"/>
        <rFont val="Arial"/>
        <family val="2"/>
      </rPr>
      <t>: Renten hentes fra Nasdaq - Average Bond Yield (nasdaqomxnordic.com) rentegennemsnit</t>
    </r>
    <r>
      <rPr>
        <sz val="10"/>
        <rFont val="Arial"/>
        <family val="2"/>
      </rPr>
      <t>(trækkes på sidste rentedag i måneden)</t>
    </r>
  </si>
  <si>
    <t>Note 6:</t>
  </si>
  <si>
    <t>note 6</t>
  </si>
  <si>
    <t>Note 4c</t>
  </si>
  <si>
    <t>PRIS1115.87 I ALT erstattes fra 1.3.2025 af PRIS1121.87 I ALT. Indeksbasisåret er skiftet fra 2015=100 til 2021=100</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</si>
  <si>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</si>
  <si>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Note 4c og Note 7</t>
  </si>
  <si>
    <t>Note 7:</t>
  </si>
  <si>
    <t>ILON12 erstattes med SBLON1</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</si>
  <si>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t>
    </r>
    <r>
      <rPr>
        <sz val="10"/>
        <rFont val="Arial"/>
        <family val="2"/>
      </rPr>
      <t xml:space="preserve">
Fra marts 2025 ændret til SBLON1, med afregning fra 3. kvt. 2025</t>
    </r>
  </si>
  <si>
    <t>Løn
(SBLON Vest)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</si>
</sst>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0.00_);_(* \(#,##0.00\);_(* &quot;-&quot;??_);_(@_)"/>
    <numFmt numFmtId="166" formatCode="0.0"/>
    <numFmt numFmtId="167" formatCode="0.0%"/>
    <numFmt numFmtId="168" formatCode="#,##0.0_ ;\-#,##0.0\ "/>
    <numFmt numFmtId="169" formatCode="0.00000"/>
    <numFmt numFmtId="170" formatCode="_(* #,##0.0_);_(* \(#,##0.0\);_(* &quot;-&quot;??_);_(@_)"/>
    <numFmt numFmtId="171" formatCode="_ * #,##0.0_ ;_ * \-#,##0.0_ ;_ * &quot;-&quot;??_ ;_ @_ "/>
    <numFmt numFmtId="172" formatCode="#,##0.0"/>
  </numFmts>
  <fonts count="34" x14ac:knownFonts="1">
    <font>
      <sz val="10"/>
      <name val="Arial"/>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i/>
      <sz val="12"/>
      <name val="Arial"/>
      <family val="2"/>
    </font>
    <font>
      <sz val="9"/>
      <color indexed="81"/>
      <name val="Tahoma"/>
      <family val="2"/>
    </font>
    <font>
      <b/>
      <sz val="9"/>
      <color indexed="81"/>
      <name val="Tahoma"/>
      <family val="2"/>
    </font>
    <font>
      <u/>
      <sz val="10"/>
      <color indexed="12"/>
      <name val="Arial"/>
      <family val="2"/>
    </font>
    <font>
      <u/>
      <sz val="10"/>
      <color indexed="12"/>
      <name val="Arial"/>
      <family val="2"/>
    </font>
    <font>
      <sz val="10"/>
      <color indexed="44"/>
      <name val="Arial"/>
      <family val="2"/>
    </font>
    <font>
      <b/>
      <sz val="10"/>
      <color indexed="44"/>
      <name val="Arial"/>
      <family val="2"/>
    </font>
    <font>
      <sz val="1"/>
      <name val="Arial"/>
      <family val="2"/>
    </font>
    <font>
      <sz val="10"/>
      <name val="Arial"/>
      <family val="2"/>
    </font>
    <font>
      <i/>
      <sz val="12"/>
      <name val="Arial"/>
      <family val="2"/>
    </font>
    <font>
      <sz val="1"/>
      <name val="Arial"/>
      <family val="2"/>
    </font>
    <font>
      <sz val="11"/>
      <color theme="1"/>
      <name val="Calibri"/>
      <family val="2"/>
      <scheme val="minor"/>
    </font>
    <font>
      <u/>
      <sz val="11"/>
      <color theme="10"/>
      <name val="Calibri"/>
      <family val="2"/>
      <scheme val="minor"/>
    </font>
    <font>
      <sz val="10"/>
      <color rgb="FFFF0000"/>
      <name val="Arial"/>
      <family val="2"/>
    </font>
    <font>
      <sz val="10"/>
      <color theme="1"/>
      <name val="Arial"/>
      <family val="2"/>
    </font>
    <font>
      <sz val="8"/>
      <color theme="1"/>
      <name val="Arial"/>
      <family val="2"/>
    </font>
  </fonts>
  <fills count="12">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1" fillId="0" borderId="0" applyFont="0" applyFill="0" applyBorder="0" applyAlignment="0" applyProtection="0"/>
    <xf numFmtId="165"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0" fillId="0" borderId="0" applyNumberFormat="0" applyFill="0" applyBorder="0" applyAlignment="0" applyProtection="0"/>
    <xf numFmtId="0" fontId="2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9" fillId="0" borderId="0"/>
    <xf numFmtId="0" fontId="1" fillId="0" borderId="0"/>
  </cellStyleXfs>
  <cellXfs count="270">
    <xf numFmtId="0" fontId="0" fillId="0" borderId="0" xfId="0"/>
    <xf numFmtId="0" fontId="2" fillId="0" borderId="0" xfId="0" applyFont="1"/>
    <xf numFmtId="0" fontId="3" fillId="0" borderId="0" xfId="0" applyFont="1"/>
    <xf numFmtId="9" fontId="3" fillId="0" borderId="0" xfId="0" applyNumberFormat="1" applyFont="1"/>
    <xf numFmtId="165" fontId="0" fillId="0" borderId="0" xfId="0" applyNumberFormat="1"/>
    <xf numFmtId="9" fontId="0" fillId="0" borderId="0" xfId="0" applyNumberFormat="1"/>
    <xf numFmtId="0" fontId="7" fillId="0" borderId="0" xfId="0" applyFont="1"/>
    <xf numFmtId="0" fontId="6" fillId="0" borderId="0" xfId="0" applyFont="1"/>
    <xf numFmtId="0" fontId="3" fillId="0" borderId="0" xfId="0" applyFont="1" applyBorder="1"/>
    <xf numFmtId="166" fontId="3" fillId="0" borderId="0" xfId="0" applyNumberFormat="1" applyFont="1" applyBorder="1"/>
    <xf numFmtId="2" fontId="3" fillId="0" borderId="0" xfId="0" applyNumberFormat="1" applyFont="1" applyBorder="1"/>
    <xf numFmtId="165" fontId="3" fillId="0" borderId="0" xfId="0" applyNumberFormat="1" applyFont="1" applyBorder="1"/>
    <xf numFmtId="0" fontId="8" fillId="0" borderId="0" xfId="0" applyFont="1" applyBorder="1"/>
    <xf numFmtId="0" fontId="0" fillId="0" borderId="0" xfId="0" applyBorder="1"/>
    <xf numFmtId="166" fontId="0" fillId="0" borderId="0" xfId="0" applyNumberFormat="1" applyBorder="1"/>
    <xf numFmtId="165" fontId="0" fillId="0" borderId="0" xfId="0" applyNumberFormat="1" applyBorder="1"/>
    <xf numFmtId="0" fontId="8"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8"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applyBorder="1"/>
    <xf numFmtId="0" fontId="6" fillId="0" borderId="2" xfId="0" applyFont="1" applyBorder="1"/>
    <xf numFmtId="2" fontId="0" fillId="0" borderId="2" xfId="0" applyNumberFormat="1" applyBorder="1"/>
    <xf numFmtId="166" fontId="6" fillId="0" borderId="2" xfId="0" applyNumberFormat="1" applyFont="1" applyBorder="1"/>
    <xf numFmtId="0" fontId="10" fillId="0" borderId="0" xfId="0" applyFont="1" applyAlignment="1">
      <alignment horizontal="center"/>
    </xf>
    <xf numFmtId="0" fontId="3" fillId="0" borderId="0" xfId="0" applyFont="1" applyAlignment="1">
      <alignment horizontal="left"/>
    </xf>
    <xf numFmtId="0" fontId="12" fillId="0" borderId="0" xfId="0" applyFont="1"/>
    <xf numFmtId="0" fontId="8" fillId="0" borderId="0" xfId="0" applyFont="1" applyFill="1" applyBorder="1"/>
    <xf numFmtId="0" fontId="0" fillId="0" borderId="0" xfId="0" applyFill="1" applyBorder="1"/>
    <xf numFmtId="166" fontId="0" fillId="0" borderId="0" xfId="0" applyNumberFormat="1" applyFill="1" applyBorder="1"/>
    <xf numFmtId="164" fontId="6" fillId="0" borderId="0" xfId="0" applyNumberFormat="1" applyFont="1"/>
    <xf numFmtId="164" fontId="9" fillId="0" borderId="0" xfId="0" applyNumberFormat="1" applyFont="1"/>
    <xf numFmtId="0" fontId="6" fillId="0" borderId="0" xfId="0" applyNumberFormat="1" applyFont="1"/>
    <xf numFmtId="0" fontId="8"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6"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applyBorder="1"/>
    <xf numFmtId="0" fontId="0" fillId="2" borderId="3" xfId="0" applyFill="1" applyBorder="1"/>
    <xf numFmtId="0" fontId="0" fillId="0" borderId="0" xfId="0" applyAlignment="1">
      <alignment horizontal="center"/>
    </xf>
    <xf numFmtId="0" fontId="7" fillId="0" borderId="0" xfId="0" applyFont="1" applyAlignment="1">
      <alignment horizontal="left"/>
    </xf>
    <xf numFmtId="166" fontId="10" fillId="0" borderId="0" xfId="1" applyNumberFormat="1" applyFont="1" applyBorder="1" applyAlignment="1">
      <alignment horizontal="center"/>
    </xf>
    <xf numFmtId="166" fontId="11" fillId="0" borderId="0" xfId="1" applyNumberFormat="1" applyFont="1" applyBorder="1" applyAlignment="1">
      <alignment horizontal="center"/>
    </xf>
    <xf numFmtId="166" fontId="11" fillId="0" borderId="1" xfId="1" applyNumberFormat="1" applyFont="1" applyBorder="1" applyAlignment="1">
      <alignment horizontal="center"/>
    </xf>
    <xf numFmtId="166" fontId="11" fillId="0" borderId="2" xfId="1" applyNumberFormat="1" applyFont="1" applyBorder="1" applyAlignment="1">
      <alignment horizontal="center"/>
    </xf>
    <xf numFmtId="166" fontId="11" fillId="0" borderId="3" xfId="1" applyNumberFormat="1" applyFont="1" applyBorder="1" applyAlignment="1">
      <alignment horizontal="center"/>
    </xf>
    <xf numFmtId="166" fontId="11" fillId="0" borderId="0" xfId="1" applyNumberFormat="1" applyFont="1" applyFill="1" applyBorder="1" applyAlignment="1">
      <alignment horizontal="center"/>
    </xf>
    <xf numFmtId="0" fontId="3" fillId="0" borderId="4" xfId="0" applyFont="1" applyBorder="1"/>
    <xf numFmtId="0" fontId="0" fillId="0" borderId="4" xfId="0" applyBorder="1"/>
    <xf numFmtId="167" fontId="0" fillId="0" borderId="4" xfId="0" applyNumberFormat="1" applyBorder="1"/>
    <xf numFmtId="165" fontId="0" fillId="2" borderId="0" xfId="0" applyNumberFormat="1" applyFill="1" applyBorder="1"/>
    <xf numFmtId="165" fontId="0" fillId="2" borderId="1" xfId="0" applyNumberFormat="1" applyFill="1" applyBorder="1"/>
    <xf numFmtId="165" fontId="0" fillId="2" borderId="2" xfId="0" applyNumberFormat="1" applyFill="1" applyBorder="1"/>
    <xf numFmtId="168" fontId="9" fillId="0" borderId="0" xfId="0" applyNumberFormat="1" applyFont="1" applyBorder="1"/>
    <xf numFmtId="0" fontId="8" fillId="0" borderId="1" xfId="0" applyFont="1" applyFill="1" applyBorder="1"/>
    <xf numFmtId="0" fontId="0" fillId="0" borderId="1" xfId="0" applyFill="1" applyBorder="1"/>
    <xf numFmtId="166" fontId="0" fillId="0" borderId="1" xfId="0" applyNumberFormat="1" applyFill="1" applyBorder="1"/>
    <xf numFmtId="166" fontId="11" fillId="0" borderId="0" xfId="0" applyNumberFormat="1" applyFont="1" applyFill="1" applyBorder="1" applyAlignment="1">
      <alignment horizontal="center"/>
    </xf>
    <xf numFmtId="0" fontId="0" fillId="0" borderId="0" xfId="0" applyFill="1"/>
    <xf numFmtId="166" fontId="0" fillId="0" borderId="2" xfId="0" applyNumberFormat="1" applyFill="1" applyBorder="1"/>
    <xf numFmtId="166" fontId="0" fillId="0" borderId="3" xfId="0" applyNumberFormat="1" applyFill="1" applyBorder="1"/>
    <xf numFmtId="0" fontId="8" fillId="0" borderId="2" xfId="0" applyFont="1" applyFill="1" applyBorder="1"/>
    <xf numFmtId="0" fontId="0" fillId="0" borderId="2" xfId="0" applyFill="1" applyBorder="1"/>
    <xf numFmtId="0" fontId="8" fillId="0" borderId="3" xfId="0" applyFont="1" applyFill="1" applyBorder="1"/>
    <xf numFmtId="0" fontId="0" fillId="0" borderId="3" xfId="0" applyFill="1" applyBorder="1"/>
    <xf numFmtId="0" fontId="3" fillId="0" borderId="0" xfId="0" applyFont="1" applyFill="1" applyBorder="1"/>
    <xf numFmtId="0" fontId="6" fillId="0" borderId="2" xfId="0" applyFont="1" applyFill="1" applyBorder="1"/>
    <xf numFmtId="166" fontId="6" fillId="0" borderId="2" xfId="0" applyNumberFormat="1" applyFont="1" applyFill="1" applyBorder="1"/>
    <xf numFmtId="166" fontId="11" fillId="0" borderId="2" xfId="0" applyNumberFormat="1" applyFont="1" applyFill="1" applyBorder="1" applyAlignment="1">
      <alignment horizontal="center"/>
    </xf>
    <xf numFmtId="166" fontId="6" fillId="0" borderId="0" xfId="0" applyNumberFormat="1" applyFont="1" applyFill="1" applyBorder="1"/>
    <xf numFmtId="0" fontId="0" fillId="0" borderId="0" xfId="0" applyFill="1" applyAlignment="1">
      <alignment horizontal="right"/>
    </xf>
    <xf numFmtId="2" fontId="0" fillId="0" borderId="3" xfId="0" applyNumberFormat="1" applyBorder="1"/>
    <xf numFmtId="2" fontId="7" fillId="0" borderId="0" xfId="0" applyNumberFormat="1" applyFont="1" applyFill="1" applyBorder="1"/>
    <xf numFmtId="0" fontId="10" fillId="0" borderId="0" xfId="0" applyFont="1"/>
    <xf numFmtId="167" fontId="0" fillId="0" borderId="0" xfId="0" applyNumberFormat="1" applyBorder="1"/>
    <xf numFmtId="167" fontId="0" fillId="0" borderId="1" xfId="0" applyNumberFormat="1" applyBorder="1"/>
    <xf numFmtId="167" fontId="0" fillId="0" borderId="2" xfId="0" applyNumberFormat="1" applyBorder="1"/>
    <xf numFmtId="0" fontId="6" fillId="0" borderId="0" xfId="0" applyFont="1" applyBorder="1"/>
    <xf numFmtId="0" fontId="3" fillId="0" borderId="4" xfId="0" applyFont="1" applyFill="1" applyBorder="1"/>
    <xf numFmtId="0" fontId="0" fillId="0" borderId="4" xfId="0" applyFill="1" applyBorder="1"/>
    <xf numFmtId="167" fontId="0" fillId="0" borderId="3" xfId="0" applyNumberFormat="1" applyBorder="1"/>
    <xf numFmtId="167" fontId="3" fillId="0" borderId="0" xfId="0" applyNumberFormat="1" applyFont="1" applyBorder="1"/>
    <xf numFmtId="167" fontId="6" fillId="0" borderId="1" xfId="0" applyNumberFormat="1" applyFont="1" applyFill="1" applyBorder="1"/>
    <xf numFmtId="167" fontId="0" fillId="0" borderId="0" xfId="0" applyNumberFormat="1" applyFill="1"/>
    <xf numFmtId="167" fontId="0" fillId="0" borderId="3" xfId="0" applyNumberFormat="1" applyFill="1" applyBorder="1"/>
    <xf numFmtId="165" fontId="11" fillId="0" borderId="0" xfId="1" applyFont="1" applyBorder="1" applyAlignment="1">
      <alignment horizontal="center"/>
    </xf>
    <xf numFmtId="165" fontId="11" fillId="0" borderId="1" xfId="1" applyFont="1" applyBorder="1" applyAlignment="1">
      <alignment horizontal="center"/>
    </xf>
    <xf numFmtId="165" fontId="11" fillId="0" borderId="2" xfId="1" applyFont="1" applyBorder="1" applyAlignment="1">
      <alignment horizontal="center"/>
    </xf>
    <xf numFmtId="165" fontId="11" fillId="0" borderId="3" xfId="1" applyFont="1" applyBorder="1" applyAlignment="1">
      <alignment horizontal="center"/>
    </xf>
    <xf numFmtId="2" fontId="7" fillId="3" borderId="0" xfId="0" applyNumberFormat="1" applyFont="1" applyFill="1" applyBorder="1"/>
    <xf numFmtId="2" fontId="7" fillId="3" borderId="1" xfId="0" applyNumberFormat="1" applyFont="1" applyFill="1" applyBorder="1"/>
    <xf numFmtId="0" fontId="13" fillId="3" borderId="0" xfId="0" applyFont="1" applyFill="1"/>
    <xf numFmtId="0" fontId="3" fillId="0" borderId="0" xfId="0" applyFont="1" applyFill="1" applyBorder="1" applyAlignment="1">
      <alignment horizontal="right"/>
    </xf>
    <xf numFmtId="10" fontId="6" fillId="0" borderId="0" xfId="0" applyNumberFormat="1" applyFont="1" applyFill="1" applyBorder="1" applyAlignment="1">
      <alignment horizontal="right"/>
    </xf>
    <xf numFmtId="167" fontId="0" fillId="0" borderId="0" xfId="0" applyNumberFormat="1" applyFill="1" applyBorder="1" applyAlignment="1">
      <alignment horizontal="right"/>
    </xf>
    <xf numFmtId="0" fontId="0" fillId="0" borderId="0" xfId="0" applyFill="1" applyBorder="1" applyAlignment="1">
      <alignment horizontal="right"/>
    </xf>
    <xf numFmtId="0" fontId="6" fillId="0" borderId="0" xfId="0" applyFont="1" applyFill="1" applyBorder="1" applyAlignment="1">
      <alignment horizontal="right"/>
    </xf>
    <xf numFmtId="168" fontId="9" fillId="0" borderId="0" xfId="0" applyNumberFormat="1" applyFont="1" applyFill="1" applyBorder="1"/>
    <xf numFmtId="0" fontId="6" fillId="0" borderId="0" xfId="0" applyFont="1" applyFill="1" applyAlignment="1">
      <alignment horizontal="right"/>
    </xf>
    <xf numFmtId="167" fontId="0" fillId="3" borderId="0" xfId="0" applyNumberFormat="1" applyFill="1" applyBorder="1"/>
    <xf numFmtId="167" fontId="0" fillId="3" borderId="1" xfId="0" applyNumberFormat="1" applyFill="1" applyBorder="1"/>
    <xf numFmtId="167" fontId="0" fillId="3" borderId="2" xfId="0" applyNumberFormat="1" applyFill="1" applyBorder="1"/>
    <xf numFmtId="167" fontId="6" fillId="3" borderId="1" xfId="0" applyNumberFormat="1" applyFont="1" applyFill="1" applyBorder="1"/>
    <xf numFmtId="167" fontId="0" fillId="3" borderId="0" xfId="0" applyNumberFormat="1" applyFill="1"/>
    <xf numFmtId="165" fontId="11" fillId="0" borderId="0" xfId="1" applyFont="1" applyFill="1" applyBorder="1" applyAlignment="1">
      <alignment horizontal="center"/>
    </xf>
    <xf numFmtId="166" fontId="10" fillId="0" borderId="0" xfId="1" applyNumberFormat="1" applyFont="1" applyFill="1" applyBorder="1" applyAlignment="1">
      <alignment horizontal="center"/>
    </xf>
    <xf numFmtId="0" fontId="6" fillId="0" borderId="0" xfId="0" applyFont="1" applyBorder="1" applyAlignment="1">
      <alignment horizontal="center"/>
    </xf>
    <xf numFmtId="167" fontId="0" fillId="0" borderId="0" xfId="0" applyNumberFormat="1" applyFill="1" applyBorder="1"/>
    <xf numFmtId="167" fontId="0" fillId="0" borderId="1" xfId="0" applyNumberFormat="1" applyFill="1" applyBorder="1"/>
    <xf numFmtId="167" fontId="0" fillId="0" borderId="2" xfId="0" applyNumberFormat="1" applyFill="1" applyBorder="1"/>
    <xf numFmtId="167" fontId="3" fillId="0" borderId="0" xfId="0" applyNumberFormat="1" applyFont="1" applyBorder="1" applyAlignment="1">
      <alignment horizontal="center"/>
    </xf>
    <xf numFmtId="166" fontId="6" fillId="0" borderId="0" xfId="0" applyNumberFormat="1" applyFont="1" applyBorder="1" applyAlignment="1">
      <alignment horizontal="center"/>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center"/>
    </xf>
    <xf numFmtId="166" fontId="6" fillId="0" borderId="2" xfId="0" applyNumberFormat="1" applyFont="1" applyBorder="1" applyAlignment="1">
      <alignment horizontal="center"/>
    </xf>
    <xf numFmtId="0" fontId="6" fillId="0" borderId="2" xfId="0" applyFont="1" applyBorder="1" applyAlignment="1">
      <alignment horizontal="center"/>
    </xf>
    <xf numFmtId="2" fontId="6" fillId="0" borderId="1" xfId="0" applyNumberFormat="1" applyFont="1" applyBorder="1" applyAlignment="1">
      <alignment horizontal="center"/>
    </xf>
    <xf numFmtId="0" fontId="3" fillId="0" borderId="2" xfId="0" applyFont="1" applyBorder="1"/>
    <xf numFmtId="167" fontId="6" fillId="0" borderId="0" xfId="0" applyNumberFormat="1" applyFont="1" applyBorder="1" applyAlignment="1">
      <alignment horizontal="center"/>
    </xf>
    <xf numFmtId="167" fontId="0" fillId="0" borderId="0" xfId="0" applyNumberFormat="1" applyBorder="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6" fillId="0" borderId="3" xfId="0" applyNumberFormat="1" applyFont="1" applyFill="1" applyBorder="1"/>
    <xf numFmtId="2" fontId="6" fillId="0" borderId="3" xfId="0" applyNumberFormat="1" applyFont="1" applyFill="1" applyBorder="1"/>
    <xf numFmtId="166" fontId="11" fillId="0" borderId="3" xfId="0" applyNumberFormat="1" applyFont="1" applyFill="1" applyBorder="1" applyAlignment="1">
      <alignment horizontal="center"/>
    </xf>
    <xf numFmtId="167" fontId="6" fillId="0" borderId="3" xfId="0" applyNumberFormat="1" applyFont="1" applyFill="1" applyBorder="1"/>
    <xf numFmtId="166" fontId="6" fillId="0" borderId="1" xfId="0" applyNumberFormat="1" applyFont="1" applyFill="1" applyBorder="1"/>
    <xf numFmtId="166" fontId="6" fillId="0" borderId="4" xfId="0" applyNumberFormat="1" applyFont="1" applyFill="1" applyBorder="1"/>
    <xf numFmtId="2" fontId="6" fillId="0" borderId="0" xfId="0" applyNumberFormat="1" applyFont="1" applyBorder="1"/>
    <xf numFmtId="2" fontId="6" fillId="0" borderId="1" xfId="0" applyNumberFormat="1" applyFont="1" applyBorder="1"/>
    <xf numFmtId="2" fontId="6" fillId="0" borderId="2" xfId="0" applyNumberFormat="1" applyFont="1" applyBorder="1"/>
    <xf numFmtId="2" fontId="6" fillId="0" borderId="0" xfId="0" applyNumberFormat="1" applyFont="1" applyFill="1" applyBorder="1"/>
    <xf numFmtId="2" fontId="6" fillId="0" borderId="1" xfId="0" applyNumberFormat="1" applyFont="1" applyFill="1" applyBorder="1"/>
    <xf numFmtId="2" fontId="6" fillId="0" borderId="2" xfId="0" applyNumberFormat="1" applyFont="1" applyFill="1" applyBorder="1"/>
    <xf numFmtId="167" fontId="0" fillId="0" borderId="4" xfId="0" applyNumberFormat="1" applyFill="1" applyBorder="1"/>
    <xf numFmtId="167" fontId="6" fillId="0" borderId="0" xfId="0" applyNumberFormat="1" applyFont="1" applyFill="1" applyBorder="1"/>
    <xf numFmtId="166" fontId="11" fillId="0" borderId="1" xfId="1" applyNumberFormat="1" applyFont="1" applyFill="1" applyBorder="1" applyAlignment="1">
      <alignment horizontal="center"/>
    </xf>
    <xf numFmtId="166" fontId="11" fillId="0" borderId="2" xfId="1" applyNumberFormat="1" applyFont="1" applyFill="1" applyBorder="1" applyAlignment="1">
      <alignment horizontal="center"/>
    </xf>
    <xf numFmtId="167" fontId="6" fillId="0" borderId="2" xfId="0" applyNumberFormat="1" applyFont="1" applyFill="1" applyBorder="1"/>
    <xf numFmtId="0" fontId="0" fillId="0" borderId="0" xfId="0" applyAlignment="1">
      <alignment vertical="top"/>
    </xf>
    <xf numFmtId="0" fontId="6" fillId="0" borderId="0" xfId="0" applyFont="1" applyFill="1"/>
    <xf numFmtId="9" fontId="0" fillId="0" borderId="0" xfId="0" applyNumberFormat="1" applyFill="1"/>
    <xf numFmtId="167" fontId="6" fillId="0" borderId="0" xfId="0" applyNumberFormat="1" applyFont="1" applyFill="1"/>
    <xf numFmtId="167" fontId="6" fillId="0" borderId="4" xfId="0" applyNumberFormat="1" applyFont="1" applyFill="1" applyBorder="1"/>
    <xf numFmtId="166" fontId="1" fillId="0" borderId="0" xfId="0" applyNumberFormat="1" applyFont="1" applyFill="1" applyBorder="1"/>
    <xf numFmtId="2" fontId="1" fillId="0" borderId="2" xfId="0" applyNumberFormat="1" applyFont="1" applyFill="1" applyBorder="1"/>
    <xf numFmtId="2" fontId="1" fillId="0" borderId="0" xfId="0" applyNumberFormat="1" applyFont="1" applyFill="1" applyBorder="1"/>
    <xf numFmtId="166" fontId="1" fillId="0" borderId="1" xfId="0" applyNumberFormat="1" applyFont="1" applyFill="1" applyBorder="1"/>
    <xf numFmtId="2" fontId="1" fillId="0" borderId="1" xfId="0" applyNumberFormat="1" applyFont="1" applyFill="1" applyBorder="1"/>
    <xf numFmtId="166" fontId="1" fillId="0" borderId="3" xfId="0" applyNumberFormat="1" applyFont="1" applyFill="1" applyBorder="1"/>
    <xf numFmtId="2" fontId="1" fillId="0" borderId="3" xfId="0" applyNumberFormat="1" applyFont="1" applyFill="1" applyBorder="1"/>
    <xf numFmtId="166" fontId="15" fillId="0" borderId="0" xfId="1" applyNumberFormat="1" applyFont="1" applyFill="1" applyBorder="1" applyAlignment="1">
      <alignment horizontal="center"/>
    </xf>
    <xf numFmtId="166" fontId="15" fillId="0" borderId="1" xfId="1" applyNumberFormat="1" applyFont="1" applyFill="1" applyBorder="1" applyAlignment="1">
      <alignment horizontal="center"/>
    </xf>
    <xf numFmtId="166" fontId="15" fillId="0" borderId="2" xfId="1" applyNumberFormat="1" applyFont="1" applyFill="1" applyBorder="1" applyAlignment="1">
      <alignment horizontal="center"/>
    </xf>
    <xf numFmtId="166" fontId="15" fillId="0" borderId="0" xfId="0" applyNumberFormat="1" applyFont="1" applyFill="1" applyBorder="1" applyAlignment="1">
      <alignment horizontal="center"/>
    </xf>
    <xf numFmtId="166" fontId="15" fillId="0" borderId="2" xfId="0" applyNumberFormat="1" applyFont="1" applyFill="1" applyBorder="1" applyAlignment="1">
      <alignment horizontal="center"/>
    </xf>
    <xf numFmtId="166" fontId="15" fillId="0" borderId="3" xfId="0" applyNumberFormat="1" applyFont="1" applyFill="1" applyBorder="1" applyAlignment="1">
      <alignment horizontal="center"/>
    </xf>
    <xf numFmtId="2" fontId="7" fillId="3" borderId="2" xfId="0" applyNumberFormat="1" applyFont="1" applyFill="1" applyBorder="1"/>
    <xf numFmtId="166" fontId="7" fillId="3" borderId="0" xfId="0" applyNumberFormat="1" applyFont="1" applyFill="1" applyBorder="1"/>
    <xf numFmtId="166" fontId="7" fillId="3" borderId="1" xfId="0" applyNumberFormat="1" applyFont="1" applyFill="1" applyBorder="1"/>
    <xf numFmtId="166" fontId="7" fillId="3" borderId="2" xfId="0" applyNumberFormat="1" applyFont="1" applyFill="1" applyBorder="1"/>
    <xf numFmtId="166" fontId="1" fillId="4" borderId="0" xfId="0" applyNumberFormat="1" applyFont="1" applyFill="1" applyBorder="1"/>
    <xf numFmtId="166" fontId="11" fillId="4" borderId="0" xfId="1" applyNumberFormat="1" applyFont="1" applyFill="1" applyBorder="1" applyAlignment="1">
      <alignment horizontal="center"/>
    </xf>
    <xf numFmtId="167" fontId="1" fillId="3" borderId="0" xfId="0" applyNumberFormat="1" applyFont="1" applyFill="1" applyBorder="1"/>
    <xf numFmtId="0" fontId="1" fillId="4" borderId="0" xfId="0" applyFont="1" applyFill="1"/>
    <xf numFmtId="166" fontId="18" fillId="3" borderId="0" xfId="1" applyNumberFormat="1" applyFont="1" applyFill="1" applyBorder="1" applyAlignment="1">
      <alignment horizontal="center"/>
    </xf>
    <xf numFmtId="166" fontId="18" fillId="3" borderId="1" xfId="1" applyNumberFormat="1" applyFont="1" applyFill="1" applyBorder="1" applyAlignment="1">
      <alignment horizontal="center"/>
    </xf>
    <xf numFmtId="167" fontId="1" fillId="0" borderId="2" xfId="0" applyNumberFormat="1" applyFont="1" applyFill="1" applyBorder="1"/>
    <xf numFmtId="166" fontId="11" fillId="0" borderId="1" xfId="0" applyNumberFormat="1" applyFont="1" applyFill="1" applyBorder="1" applyAlignment="1">
      <alignment horizontal="center"/>
    </xf>
    <xf numFmtId="166" fontId="1" fillId="4" borderId="1" xfId="0" applyNumberFormat="1" applyFont="1" applyFill="1" applyBorder="1"/>
    <xf numFmtId="0" fontId="3" fillId="0" borderId="3" xfId="0" applyFont="1" applyBorder="1" applyAlignment="1">
      <alignment horizontal="left"/>
    </xf>
    <xf numFmtId="0" fontId="10" fillId="0" borderId="3" xfId="0" applyFont="1" applyBorder="1" applyAlignment="1">
      <alignment horizontal="center"/>
    </xf>
    <xf numFmtId="0" fontId="3" fillId="0" borderId="3" xfId="0" applyFont="1" applyBorder="1"/>
    <xf numFmtId="0" fontId="1" fillId="0" borderId="0" xfId="0" applyFont="1" applyAlignment="1">
      <alignment wrapText="1"/>
    </xf>
    <xf numFmtId="0" fontId="1" fillId="0" borderId="0" xfId="0" applyFont="1" applyFill="1" applyBorder="1"/>
    <xf numFmtId="0" fontId="0" fillId="0" borderId="5" xfId="0" applyBorder="1"/>
    <xf numFmtId="166" fontId="0" fillId="0" borderId="5" xfId="0" applyNumberFormat="1" applyFill="1" applyBorder="1"/>
    <xf numFmtId="0" fontId="0" fillId="5" borderId="5" xfId="0" applyFill="1" applyBorder="1"/>
    <xf numFmtId="166" fontId="0" fillId="4" borderId="5" xfId="0" applyNumberFormat="1" applyFill="1" applyBorder="1"/>
    <xf numFmtId="171" fontId="0" fillId="0" borderId="5" xfId="1" applyNumberFormat="1" applyFont="1" applyBorder="1"/>
    <xf numFmtId="0" fontId="3" fillId="0" borderId="5" xfId="0" applyFont="1" applyBorder="1"/>
    <xf numFmtId="166" fontId="6" fillId="4" borderId="1" xfId="0" applyNumberFormat="1" applyFont="1" applyFill="1" applyBorder="1"/>
    <xf numFmtId="0" fontId="1" fillId="0" borderId="5" xfId="0" applyFont="1" applyBorder="1"/>
    <xf numFmtId="0" fontId="1" fillId="0" borderId="6" xfId="0" applyFont="1" applyFill="1" applyBorder="1"/>
    <xf numFmtId="0" fontId="1" fillId="6" borderId="0" xfId="0" applyFont="1" applyFill="1"/>
    <xf numFmtId="166" fontId="1" fillId="6" borderId="0" xfId="0" applyNumberFormat="1" applyFont="1" applyFill="1" applyBorder="1"/>
    <xf numFmtId="166" fontId="1" fillId="6" borderId="3" xfId="0" applyNumberFormat="1" applyFont="1" applyFill="1" applyBorder="1"/>
    <xf numFmtId="166" fontId="1" fillId="6" borderId="1" xfId="0" applyNumberFormat="1" applyFont="1" applyFill="1" applyBorder="1"/>
    <xf numFmtId="166" fontId="0" fillId="0" borderId="0" xfId="0" applyNumberFormat="1"/>
    <xf numFmtId="166" fontId="1" fillId="7" borderId="1" xfId="0" applyNumberFormat="1" applyFont="1" applyFill="1" applyBorder="1"/>
    <xf numFmtId="0" fontId="0" fillId="7" borderId="0" xfId="0" applyFill="1"/>
    <xf numFmtId="0" fontId="16" fillId="7" borderId="0" xfId="0" applyFont="1" applyFill="1"/>
    <xf numFmtId="0" fontId="1" fillId="0" borderId="0" xfId="0" applyFont="1" applyFill="1" applyAlignment="1">
      <alignment wrapText="1"/>
    </xf>
    <xf numFmtId="0" fontId="4" fillId="7" borderId="0" xfId="0" applyFont="1" applyFill="1" applyAlignment="1"/>
    <xf numFmtId="0" fontId="4" fillId="0" borderId="0" xfId="0" applyFont="1"/>
    <xf numFmtId="0" fontId="4" fillId="4" borderId="0" xfId="0" applyFont="1" applyFill="1"/>
    <xf numFmtId="0" fontId="4" fillId="4" borderId="0" xfId="0" applyFont="1" applyFill="1" applyAlignment="1">
      <alignment horizontal="center"/>
    </xf>
    <xf numFmtId="0" fontId="4" fillId="6" borderId="0" xfId="0" applyFont="1" applyFill="1"/>
    <xf numFmtId="0" fontId="4" fillId="6" borderId="0" xfId="0" applyFont="1" applyFill="1" applyAlignment="1">
      <alignment horizontal="center"/>
    </xf>
    <xf numFmtId="0" fontId="0" fillId="0" borderId="0" xfId="0" applyBorder="1" applyAlignment="1">
      <alignment vertical="top"/>
    </xf>
    <xf numFmtId="0" fontId="1" fillId="0" borderId="0" xfId="0" applyFont="1" applyFill="1" applyBorder="1" applyAlignment="1">
      <alignment wrapText="1"/>
    </xf>
    <xf numFmtId="0" fontId="6" fillId="0" borderId="0" xfId="0" applyFont="1" applyFill="1" applyBorder="1"/>
    <xf numFmtId="9" fontId="0" fillId="0" borderId="0" xfId="0" applyNumberFormat="1" applyFill="1" applyBorder="1"/>
    <xf numFmtId="0" fontId="4" fillId="0" borderId="0" xfId="0" applyFont="1" applyFill="1" applyAlignment="1">
      <alignment wrapText="1"/>
    </xf>
    <xf numFmtId="166" fontId="1" fillId="7" borderId="0" xfId="0" applyNumberFormat="1" applyFont="1" applyFill="1" applyBorder="1"/>
    <xf numFmtId="166" fontId="1" fillId="7" borderId="3" xfId="0" applyNumberFormat="1" applyFont="1" applyFill="1" applyBorder="1"/>
    <xf numFmtId="0" fontId="1" fillId="0" borderId="0" xfId="0" applyFont="1"/>
    <xf numFmtId="166" fontId="1" fillId="8" borderId="0" xfId="0" applyNumberFormat="1" applyFont="1" applyFill="1" applyBorder="1"/>
    <xf numFmtId="165" fontId="1" fillId="0" borderId="0" xfId="1" applyFont="1"/>
    <xf numFmtId="172" fontId="1" fillId="6" borderId="0" xfId="1" applyNumberFormat="1" applyFont="1" applyFill="1" applyBorder="1" applyAlignment="1">
      <alignment horizontal="right"/>
    </xf>
    <xf numFmtId="0" fontId="25" fillId="0" borderId="0" xfId="0" applyFont="1" applyFill="1" applyBorder="1"/>
    <xf numFmtId="0" fontId="25" fillId="0" borderId="1" xfId="0" applyFont="1" applyFill="1" applyBorder="1"/>
    <xf numFmtId="0" fontId="25" fillId="0" borderId="2" xfId="0" applyFont="1" applyFill="1" applyBorder="1"/>
    <xf numFmtId="166" fontId="1" fillId="3" borderId="0" xfId="0" applyNumberFormat="1" applyFont="1" applyFill="1" applyBorder="1"/>
    <xf numFmtId="166" fontId="1" fillId="3" borderId="1" xfId="0" applyNumberFormat="1" applyFont="1" applyFill="1" applyBorder="1"/>
    <xf numFmtId="166" fontId="1" fillId="3" borderId="2" xfId="0" applyNumberFormat="1" applyFont="1" applyFill="1" applyBorder="1"/>
    <xf numFmtId="167" fontId="1" fillId="3" borderId="1" xfId="0" applyNumberFormat="1" applyFont="1" applyFill="1" applyBorder="1"/>
    <xf numFmtId="167" fontId="1" fillId="3" borderId="2" xfId="0" applyNumberFormat="1" applyFont="1" applyFill="1" applyBorder="1"/>
    <xf numFmtId="167" fontId="1" fillId="3" borderId="0" xfId="0" applyNumberFormat="1" applyFont="1" applyFill="1"/>
    <xf numFmtId="0" fontId="25" fillId="0" borderId="3" xfId="0" applyFont="1" applyFill="1" applyBorder="1"/>
    <xf numFmtId="170" fontId="26" fillId="3" borderId="3" xfId="1" applyNumberFormat="1" applyFont="1" applyFill="1" applyBorder="1"/>
    <xf numFmtId="166" fontId="1" fillId="0" borderId="4" xfId="0" applyNumberFormat="1" applyFont="1" applyFill="1" applyBorder="1"/>
    <xf numFmtId="166" fontId="1" fillId="7" borderId="4" xfId="0" applyNumberFormat="1" applyFont="1" applyFill="1" applyBorder="1"/>
    <xf numFmtId="166" fontId="1" fillId="6" borderId="4" xfId="0" applyNumberFormat="1" applyFont="1" applyFill="1" applyBorder="1"/>
    <xf numFmtId="2" fontId="1" fillId="0" borderId="4" xfId="0" applyNumberFormat="1" applyFont="1" applyFill="1" applyBorder="1"/>
    <xf numFmtId="166" fontId="11" fillId="0" borderId="4" xfId="0" applyNumberFormat="1" applyFont="1" applyFill="1" applyBorder="1" applyAlignment="1">
      <alignment horizontal="center"/>
    </xf>
    <xf numFmtId="166" fontId="7" fillId="3" borderId="3" xfId="0" applyNumberFormat="1" applyFont="1" applyFill="1" applyBorder="1"/>
    <xf numFmtId="2" fontId="7" fillId="3" borderId="3" xfId="0" applyNumberFormat="1" applyFont="1" applyFill="1" applyBorder="1"/>
    <xf numFmtId="166" fontId="18" fillId="3" borderId="3" xfId="1" applyNumberFormat="1" applyFont="1" applyFill="1" applyBorder="1" applyAlignment="1">
      <alignment horizontal="center"/>
    </xf>
    <xf numFmtId="169" fontId="0" fillId="0" borderId="0" xfId="0" applyNumberFormat="1"/>
    <xf numFmtId="169" fontId="31" fillId="0" borderId="0" xfId="0" applyNumberFormat="1" applyFont="1"/>
    <xf numFmtId="0" fontId="31" fillId="0" borderId="0" xfId="0" applyFont="1"/>
    <xf numFmtId="166" fontId="27" fillId="3" borderId="0" xfId="1" applyNumberFormat="1" applyFont="1" applyFill="1" applyBorder="1" applyAlignment="1">
      <alignment horizontal="center"/>
    </xf>
    <xf numFmtId="166" fontId="27" fillId="3" borderId="1" xfId="1" applyNumberFormat="1" applyFont="1" applyFill="1" applyBorder="1" applyAlignment="1">
      <alignment horizontal="center"/>
    </xf>
    <xf numFmtId="0" fontId="28" fillId="0" borderId="0" xfId="0" applyFont="1" applyFill="1" applyBorder="1"/>
    <xf numFmtId="0" fontId="28" fillId="0" borderId="1" xfId="0" applyFont="1" applyFill="1" applyBorder="1"/>
    <xf numFmtId="0" fontId="28" fillId="0" borderId="2" xfId="0" applyFont="1" applyFill="1" applyBorder="1"/>
    <xf numFmtId="166" fontId="0" fillId="3" borderId="0" xfId="0" applyNumberFormat="1" applyFont="1" applyFill="1" applyBorder="1"/>
    <xf numFmtId="166" fontId="0" fillId="3" borderId="1" xfId="0" applyNumberFormat="1" applyFont="1" applyFill="1" applyBorder="1"/>
    <xf numFmtId="166" fontId="0" fillId="3" borderId="2" xfId="0" applyNumberFormat="1" applyFont="1" applyFill="1" applyBorder="1"/>
    <xf numFmtId="167" fontId="0" fillId="3" borderId="0" xfId="0" applyNumberFormat="1" applyFont="1" applyFill="1" applyBorder="1"/>
    <xf numFmtId="167" fontId="0" fillId="3" borderId="1" xfId="0" applyNumberFormat="1" applyFont="1" applyFill="1" applyBorder="1"/>
    <xf numFmtId="167" fontId="0" fillId="3" borderId="2" xfId="0" applyNumberFormat="1" applyFont="1" applyFill="1" applyBorder="1"/>
    <xf numFmtId="167" fontId="0" fillId="3" borderId="0" xfId="0" applyNumberFormat="1" applyFont="1" applyFill="1"/>
    <xf numFmtId="166" fontId="1" fillId="3" borderId="3" xfId="0" applyNumberFormat="1" applyFont="1" applyFill="1" applyBorder="1"/>
    <xf numFmtId="167" fontId="1" fillId="3" borderId="3" xfId="0" applyNumberFormat="1" applyFont="1" applyFill="1" applyBorder="1"/>
    <xf numFmtId="169" fontId="31" fillId="0" borderId="0" xfId="0" applyNumberFormat="1" applyFont="1"/>
    <xf numFmtId="0" fontId="31" fillId="0" borderId="0" xfId="0" applyFont="1"/>
    <xf numFmtId="0" fontId="4" fillId="9" borderId="0" xfId="0" applyFont="1" applyFill="1" applyAlignment="1">
      <alignment vertical="top"/>
    </xf>
    <xf numFmtId="166" fontId="32" fillId="10" borderId="1" xfId="0" applyNumberFormat="1" applyFont="1" applyFill="1" applyBorder="1"/>
    <xf numFmtId="166" fontId="33" fillId="10" borderId="1" xfId="0" applyNumberFormat="1" applyFont="1" applyFill="1" applyBorder="1"/>
    <xf numFmtId="0" fontId="3" fillId="0" borderId="3" xfId="0" applyFont="1" applyBorder="1" applyAlignment="1">
      <alignment horizontal="center" wrapText="1"/>
    </xf>
    <xf numFmtId="166" fontId="1" fillId="11" borderId="1" xfId="0" applyNumberFormat="1" applyFont="1" applyFill="1" applyBorder="1"/>
    <xf numFmtId="166" fontId="1" fillId="11" borderId="0" xfId="0" applyNumberFormat="1" applyFont="1" applyFill="1" applyBorder="1"/>
    <xf numFmtId="166" fontId="1" fillId="7" borderId="2" xfId="0" applyNumberFormat="1" applyFont="1" applyFill="1" applyBorder="1"/>
    <xf numFmtId="166" fontId="1" fillId="6" borderId="2" xfId="0" applyNumberFormat="1" applyFont="1" applyFill="1" applyBorder="1"/>
    <xf numFmtId="0" fontId="4" fillId="9" borderId="0" xfId="0" applyFont="1" applyFill="1" applyAlignment="1">
      <alignment vertical="center" wrapText="1"/>
    </xf>
  </cellXfs>
  <cellStyles count="10">
    <cellStyle name="Komma" xfId="1" builtinId="3"/>
    <cellStyle name="Komma 2" xfId="2" xr:uid="{0203BAF8-CD99-4021-BF6B-85B3918B84B1}"/>
    <cellStyle name="Komma 2 2" xfId="3" xr:uid="{023DD03A-81CC-404E-B1FC-6C911856FE29}"/>
    <cellStyle name="Komma 3" xfId="4" xr:uid="{1B02500C-B2FE-49E9-ADFE-4E50655B307A}"/>
    <cellStyle name="Link 2" xfId="5" xr:uid="{B13F2A7A-13AC-4137-9C76-CBF01BDE1EC4}"/>
    <cellStyle name="Link 3" xfId="6" xr:uid="{A549595B-9DDD-4655-9308-B9FC0B5DFD98}"/>
    <cellStyle name="Link 3 2" xfId="7" xr:uid="{0AE5C4DD-42BE-4D01-B73F-06C2D8AEBF87}"/>
    <cellStyle name="Normal" xfId="0" builtinId="0"/>
    <cellStyle name="Normal 2" xfId="8" xr:uid="{261DDC97-CEAE-4EEB-BCA5-E086072472E5}"/>
    <cellStyle name="Normal 3" xfId="9" xr:uid="{B520CC78-D269-4CE6-866E-A2DDEA42C896}"/>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83820</xdr:colOff>
      <xdr:row>12</xdr:row>
      <xdr:rowOff>45721</xdr:rowOff>
    </xdr:from>
    <xdr:to>
      <xdr:col>4</xdr:col>
      <xdr:colOff>340967</xdr:colOff>
      <xdr:row>28</xdr:row>
      <xdr:rowOff>60960</xdr:rowOff>
    </xdr:to>
    <xdr:sp macro="" textlink="">
      <xdr:nvSpPr>
        <xdr:cNvPr id="2" name="Text Box 3">
          <a:extLst>
            <a:ext uri="{FF2B5EF4-FFF2-40B4-BE49-F238E27FC236}">
              <a16:creationId xmlns:a16="http://schemas.microsoft.com/office/drawing/2014/main" id="{C6162FD4-E0BA-E7B6-D10A-BEFDC0A2431D}"/>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60 pct.) </a:t>
          </a:r>
        </a:p>
        <a:p>
          <a:pPr algn="l" rtl="0">
            <a:defRPr sz="1000"/>
          </a:pPr>
          <a:r>
            <a:rPr lang="da-DK" sz="900" b="0" i="0" u="none" strike="noStrike" baseline="0">
              <a:solidFill>
                <a:srgbClr val="000000"/>
              </a:solidFill>
              <a:latin typeface="Arial"/>
              <a:cs typeface="Arial"/>
            </a:rPr>
            <a:t>+ (Procentvis ændring i dieselindeks x 17 pct.) </a:t>
          </a:r>
        </a:p>
        <a:p>
          <a:pPr algn="l" rtl="0">
            <a:defRPr sz="1000"/>
          </a:pPr>
          <a:r>
            <a:rPr lang="da-DK" sz="900" b="0" i="0" u="none" strike="noStrike" baseline="0">
              <a:solidFill>
                <a:srgbClr val="000000"/>
              </a:solidFill>
              <a:latin typeface="Arial"/>
              <a:cs typeface="Arial"/>
            </a:rPr>
            <a:t>+ (Procentvis ændring i forbrugerindeks x 10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83820</xdr:colOff>
      <xdr:row>39</xdr:row>
      <xdr:rowOff>106680</xdr:rowOff>
    </xdr:from>
    <xdr:to>
      <xdr:col>4</xdr:col>
      <xdr:colOff>321973</xdr:colOff>
      <xdr:row>50</xdr:row>
      <xdr:rowOff>76175</xdr:rowOff>
    </xdr:to>
    <xdr:sp macro="" textlink="">
      <xdr:nvSpPr>
        <xdr:cNvPr id="3" name="Text Box 5">
          <a:extLst>
            <a:ext uri="{FF2B5EF4-FFF2-40B4-BE49-F238E27FC236}">
              <a16:creationId xmlns:a16="http://schemas.microsoft.com/office/drawing/2014/main" id="{9ABF7E6D-3EC7-B637-EE85-A6555101E34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diesel,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28</xdr:row>
      <xdr:rowOff>106680</xdr:rowOff>
    </xdr:from>
    <xdr:to>
      <xdr:col>4</xdr:col>
      <xdr:colOff>321984</xdr:colOff>
      <xdr:row>39</xdr:row>
      <xdr:rowOff>68604</xdr:rowOff>
    </xdr:to>
    <xdr:sp macro="" textlink="">
      <xdr:nvSpPr>
        <xdr:cNvPr id="4" name="Text Box 5">
          <a:extLst>
            <a:ext uri="{FF2B5EF4-FFF2-40B4-BE49-F238E27FC236}">
              <a16:creationId xmlns:a16="http://schemas.microsoft.com/office/drawing/2014/main" id="{E7509BAC-AFD3-39E3-2ED2-A7B4D67C16BA}"/>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E725ACA-C258-4F5A-83E8-0BE3E265A19F}" name="Tabel6" displayName="Tabel6" ref="A3:J267" totalsRowShown="0" headerRowDxfId="14">
  <autoFilter ref="A3:J267" xr:uid="{669332DC-0B39-4139-98BD-52C154ED92B5}">
    <filterColumn colId="0">
      <filters>
        <filter val="2023"/>
        <filter val="2024"/>
        <filter val="2025"/>
        <filter val="2026"/>
      </filters>
    </filterColumn>
  </autoFilter>
  <tableColumns count="10">
    <tableColumn id="1" xr3:uid="{00000000-0010-0000-0100-000001000000}" name="År"/>
    <tableColumn id="2" xr3:uid="{00000000-0010-0000-0100-000002000000}" name="Måned"/>
    <tableColumn id="3" xr3:uid="{00000000-0010-0000-0100-000003000000}" name="Løn_x000a_(SBLON Vest)"/>
    <tableColumn id="4" xr3:uid="{00000000-0010-0000-0100-000004000000}" name="Diesel"/>
    <tableColumn id="5" xr3:uid="{00000000-0010-0000-0100-000005000000}" name="Forbrug"/>
    <tableColumn id="6" xr3:uid="{00000000-0010-0000-0100-000006000000}" name="Maskiner" dataDxfId="13"/>
    <tableColumn id="7" xr3:uid="{00000000-0010-0000-0100-000007000000}" name="Rente"/>
    <tableColumn id="8" xr3:uid="{00000000-0010-0000-0100-000008000000}" name="Indeks" dataDxfId="12"/>
    <tableColumn id="9" xr3:uid="{00000000-0010-0000-0100-000009000000}" name="∆ Måned"/>
    <tableColumn id="10" xr3:uid="{00000000-0010-0000-01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853C2E0-7EC7-4858-BA17-60B36D2C7D3D}" name="Tabel7" displayName="Tabel7" ref="A3:H267" totalsRowShown="0" headerRowDxfId="11">
  <autoFilter ref="A3:H267" xr:uid="{7B1B6292-2BC9-4B3D-8CCC-939B1792EC00}">
    <filterColumn colId="0">
      <filters>
        <filter val="2023"/>
        <filter val="2024"/>
        <filter val="2025"/>
        <filter val="2026"/>
      </filters>
    </filterColumn>
  </autoFilter>
  <tableColumns count="8">
    <tableColumn id="1" xr3:uid="{00000000-0010-0000-0300-000001000000}" name="År"/>
    <tableColumn id="2" xr3:uid="{00000000-0010-0000-0300-000002000000}" name="Måned"/>
    <tableColumn id="3" xr3:uid="{00000000-0010-0000-0300-000003000000}" name="Løn"/>
    <tableColumn id="4" xr3:uid="{00000000-0010-0000-0300-000004000000}" name="Diesel"/>
    <tableColumn id="5" xr3:uid="{00000000-0010-0000-0300-000005000000}" name="Forbrug"/>
    <tableColumn id="6" xr3:uid="{00000000-0010-0000-0300-000006000000}" name="Maskiner"/>
    <tableColumn id="7" xr3:uid="{00000000-0010-0000-0300-000007000000}" name="Rente"/>
    <tableColumn id="8" xr3:uid="{00000000-0010-0000-03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86E92C5-4165-4CB9-9A9D-37D09050406A}" name="Tabel20" displayName="Tabel20" ref="A2:H266" totalsRowShown="0" headerRowDxfId="10" dataDxfId="9" tableBorderDxfId="8">
  <autoFilter ref="A2:H266" xr:uid="{EAD8CC15-F455-45D3-A5B2-8B3996B2A3C8}">
    <filterColumn colId="0">
      <filters>
        <filter val="2023"/>
        <filter val="2024"/>
        <filter val="2025"/>
        <filter val="2026"/>
      </filters>
    </filterColumn>
  </autoFilter>
  <tableColumns count="8">
    <tableColumn id="1" xr3:uid="{00000000-0010-0000-0500-000001000000}" name="År" dataDxfId="7"/>
    <tableColumn id="2" xr3:uid="{00000000-0010-0000-0500-000002000000}" name="Måned" dataDxfId="6"/>
    <tableColumn id="3" xr3:uid="{00000000-0010-0000-0500-000003000000}" name="Indeks" dataDxfId="5"/>
    <tableColumn id="4" xr3:uid="{00000000-0010-0000-0500-000004000000}" name="∆ Måned" dataDxfId="4"/>
    <tableColumn id="5" xr3:uid="{00000000-0010-0000-0500-000005000000}" name="∆ Kvartal" dataDxfId="3"/>
    <tableColumn id="9" xr3:uid="{00000000-0010-0000-0500-000009000000}" name="∆ Halvår" dataDxfId="2"/>
    <tableColumn id="6" xr3:uid="{00000000-0010-0000-0500-000006000000}" name="∆ År" dataDxfId="1"/>
    <tableColumn id="7" xr3:uid="{00000000-0010-0000-05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47209-D463-4EF2-B8CD-6DED846562A7}">
  <sheetPr codeName="Ark1">
    <pageSetUpPr fitToPage="1"/>
  </sheetPr>
  <dimension ref="A1:AA278"/>
  <sheetViews>
    <sheetView tabSelected="1" view="pageBreakPreview" topLeftCell="A238" zoomScaleNormal="100" zoomScaleSheetLayoutView="100" workbookViewId="0">
      <selection activeCell="H250" sqref="H250"/>
    </sheetView>
  </sheetViews>
  <sheetFormatPr defaultRowHeight="12.75" x14ac:dyDescent="0.2"/>
  <cols>
    <col min="1" max="1" width="10.28515625" customWidth="1"/>
    <col min="2" max="2" width="9.5703125" customWidth="1"/>
    <col min="3" max="3" width="13.28515625" customWidth="1"/>
    <col min="4" max="4" width="9.5703125" bestFit="1" customWidth="1"/>
    <col min="5" max="5" width="10.140625" customWidth="1"/>
    <col min="6" max="6" width="11.140625" customWidth="1"/>
    <col min="7" max="7" width="8.140625" customWidth="1"/>
    <col min="8" max="8" width="10.42578125" style="48" customWidth="1"/>
    <col min="9" max="9" width="10.85546875" hidden="1" customWidth="1"/>
    <col min="10" max="10" width="19.5703125" customWidth="1"/>
  </cols>
  <sheetData>
    <row r="1" spans="1:10" ht="20.25" x14ac:dyDescent="0.3">
      <c r="A1" s="31"/>
      <c r="C1" s="2"/>
      <c r="I1" s="49" t="s">
        <v>32</v>
      </c>
      <c r="J1" s="100" t="s">
        <v>32</v>
      </c>
    </row>
    <row r="2" spans="1:10" x14ac:dyDescent="0.2">
      <c r="A2" t="s">
        <v>68</v>
      </c>
      <c r="B2" s="2" t="s">
        <v>28</v>
      </c>
      <c r="C2" s="3">
        <v>0.6</v>
      </c>
      <c r="D2" s="3">
        <v>0.17</v>
      </c>
      <c r="E2" s="3">
        <v>0.08</v>
      </c>
      <c r="F2" s="3">
        <v>0.09</v>
      </c>
      <c r="G2" s="3">
        <v>0.06</v>
      </c>
    </row>
    <row r="3" spans="1:10" ht="27" thickBot="1" x14ac:dyDescent="0.3">
      <c r="A3" s="183" t="s">
        <v>1</v>
      </c>
      <c r="B3" s="183" t="s">
        <v>2</v>
      </c>
      <c r="C3" s="264" t="s">
        <v>90</v>
      </c>
      <c r="D3" s="183" t="s">
        <v>4</v>
      </c>
      <c r="E3" s="183" t="s">
        <v>5</v>
      </c>
      <c r="F3" s="183" t="s">
        <v>6</v>
      </c>
      <c r="G3" s="183" t="s">
        <v>7</v>
      </c>
      <c r="H3" s="184" t="s">
        <v>0</v>
      </c>
      <c r="I3" s="2" t="s">
        <v>20</v>
      </c>
      <c r="J3" s="185" t="s">
        <v>47</v>
      </c>
    </row>
    <row r="4" spans="1:10" ht="15.75" hidden="1" thickBot="1" x14ac:dyDescent="0.25">
      <c r="A4" s="8">
        <v>2005</v>
      </c>
      <c r="B4" s="13" t="s">
        <v>8</v>
      </c>
      <c r="C4" s="120" t="s">
        <v>19</v>
      </c>
      <c r="D4" s="115" t="s">
        <v>19</v>
      </c>
      <c r="E4" s="115" t="s">
        <v>19</v>
      </c>
      <c r="F4" s="115" t="s">
        <v>19</v>
      </c>
      <c r="G4" s="115" t="s">
        <v>19</v>
      </c>
      <c r="H4" s="94" t="s">
        <v>19</v>
      </c>
      <c r="I4" t="s">
        <v>19</v>
      </c>
    </row>
    <row r="5" spans="1:10" ht="15.75" hidden="1" thickBot="1" x14ac:dyDescent="0.25">
      <c r="A5" s="12">
        <f>A4</f>
        <v>2005</v>
      </c>
      <c r="B5" s="13" t="s">
        <v>9</v>
      </c>
      <c r="C5" s="120" t="s">
        <v>19</v>
      </c>
      <c r="D5" s="115" t="s">
        <v>19</v>
      </c>
      <c r="E5" s="115" t="s">
        <v>19</v>
      </c>
      <c r="F5" s="115" t="s">
        <v>19</v>
      </c>
      <c r="G5" s="115" t="s">
        <v>19</v>
      </c>
      <c r="H5" s="94" t="s">
        <v>19</v>
      </c>
      <c r="I5" s="4" t="e">
        <f t="shared" ref="I5:I36" si="0">(H5-H4)/H4*100</f>
        <v>#VALUE!</v>
      </c>
    </row>
    <row r="6" spans="1:10" ht="15.75" hidden="1" thickBot="1" x14ac:dyDescent="0.25">
      <c r="A6" s="16">
        <f t="shared" ref="A6:A15" si="1">A5</f>
        <v>2005</v>
      </c>
      <c r="B6" s="17" t="s">
        <v>10</v>
      </c>
      <c r="C6" s="124" t="s">
        <v>19</v>
      </c>
      <c r="D6" s="125" t="s">
        <v>19</v>
      </c>
      <c r="E6" s="125" t="s">
        <v>19</v>
      </c>
      <c r="F6" s="124" t="s">
        <v>19</v>
      </c>
      <c r="G6" s="125" t="s">
        <v>19</v>
      </c>
      <c r="H6" s="95" t="s">
        <v>19</v>
      </c>
      <c r="I6" s="4" t="e">
        <f t="shared" si="0"/>
        <v>#VALUE!</v>
      </c>
    </row>
    <row r="7" spans="1:10" ht="15.75" hidden="1" thickBot="1" x14ac:dyDescent="0.25">
      <c r="A7" s="21">
        <f t="shared" si="1"/>
        <v>2005</v>
      </c>
      <c r="B7" s="22" t="s">
        <v>11</v>
      </c>
      <c r="C7" s="126" t="s">
        <v>19</v>
      </c>
      <c r="D7" s="127" t="s">
        <v>19</v>
      </c>
      <c r="E7" s="127" t="s">
        <v>19</v>
      </c>
      <c r="F7" s="127" t="s">
        <v>19</v>
      </c>
      <c r="G7" s="127" t="s">
        <v>19</v>
      </c>
      <c r="H7" s="96" t="s">
        <v>19</v>
      </c>
      <c r="I7" s="4" t="e">
        <f t="shared" si="0"/>
        <v>#VALUE!</v>
      </c>
    </row>
    <row r="8" spans="1:10" ht="15.75" hidden="1" thickBot="1" x14ac:dyDescent="0.25">
      <c r="A8" s="12">
        <f t="shared" si="1"/>
        <v>2005</v>
      </c>
      <c r="B8" s="13" t="s">
        <v>12</v>
      </c>
      <c r="C8" s="120" t="s">
        <v>19</v>
      </c>
      <c r="D8" s="115" t="s">
        <v>19</v>
      </c>
      <c r="E8" s="115" t="s">
        <v>19</v>
      </c>
      <c r="F8" s="115" t="s">
        <v>19</v>
      </c>
      <c r="G8" s="115" t="s">
        <v>19</v>
      </c>
      <c r="H8" s="94" t="s">
        <v>19</v>
      </c>
      <c r="I8" s="4" t="e">
        <f t="shared" si="0"/>
        <v>#VALUE!</v>
      </c>
    </row>
    <row r="9" spans="1:10" ht="15.75" hidden="1" thickBot="1" x14ac:dyDescent="0.25">
      <c r="A9" s="16">
        <f t="shared" si="1"/>
        <v>2005</v>
      </c>
      <c r="B9" s="17" t="s">
        <v>13</v>
      </c>
      <c r="C9" s="124" t="s">
        <v>19</v>
      </c>
      <c r="D9" s="125" t="s">
        <v>19</v>
      </c>
      <c r="E9" s="125" t="s">
        <v>19</v>
      </c>
      <c r="F9" s="125" t="s">
        <v>19</v>
      </c>
      <c r="G9" s="128" t="s">
        <v>19</v>
      </c>
      <c r="H9" s="95" t="s">
        <v>19</v>
      </c>
      <c r="I9" s="4" t="e">
        <f t="shared" si="0"/>
        <v>#VALUE!</v>
      </c>
    </row>
    <row r="10" spans="1:10" ht="15.75" hidden="1" thickBot="1" x14ac:dyDescent="0.25">
      <c r="A10" s="129">
        <f t="shared" si="1"/>
        <v>2005</v>
      </c>
      <c r="B10" s="26" t="s">
        <v>31</v>
      </c>
      <c r="C10" s="23">
        <v>100</v>
      </c>
      <c r="D10" s="23">
        <v>117.3</v>
      </c>
      <c r="E10" s="22">
        <v>110.3</v>
      </c>
      <c r="F10" s="23">
        <v>99.4</v>
      </c>
      <c r="G10" s="27">
        <v>3.36</v>
      </c>
      <c r="H10" s="96">
        <f t="shared" ref="H10:H35" si="2">100+((C10-$C$40)/$C$40*100*$C$2)+((D10-$D$40)/$D$40*100*$D$2)+((E10-$E$40)/$E$40*100*$E$2)+((F10-$F$40)/$F$40*100*$F$2)+((G10-$G$40)/$G$40*100*$G$2)</f>
        <v>90.292328719285351</v>
      </c>
      <c r="I10" s="4" t="e">
        <f t="shared" si="0"/>
        <v>#VALUE!</v>
      </c>
    </row>
    <row r="11" spans="1:10" ht="15.75" hidden="1" thickBot="1" x14ac:dyDescent="0.25">
      <c r="A11" s="12">
        <f t="shared" si="1"/>
        <v>2005</v>
      </c>
      <c r="B11" s="13" t="s">
        <v>14</v>
      </c>
      <c r="C11" s="14">
        <v>100</v>
      </c>
      <c r="D11" s="13">
        <v>122.9</v>
      </c>
      <c r="E11" s="13">
        <v>110.4</v>
      </c>
      <c r="F11" s="13">
        <v>99.8</v>
      </c>
      <c r="G11" s="13">
        <v>3.3</v>
      </c>
      <c r="H11" s="94">
        <f t="shared" si="2"/>
        <v>90.92752527499178</v>
      </c>
      <c r="I11" s="4">
        <f t="shared" si="0"/>
        <v>0.70348895051895877</v>
      </c>
    </row>
    <row r="12" spans="1:10" ht="15.75" hidden="1" thickBot="1" x14ac:dyDescent="0.25">
      <c r="A12" s="16">
        <f t="shared" si="1"/>
        <v>2005</v>
      </c>
      <c r="B12" s="17" t="s">
        <v>15</v>
      </c>
      <c r="C12" s="18">
        <v>100</v>
      </c>
      <c r="D12" s="17">
        <v>127</v>
      </c>
      <c r="E12" s="17">
        <v>110.3</v>
      </c>
      <c r="F12" s="18">
        <v>100</v>
      </c>
      <c r="G12" s="17">
        <v>3.29</v>
      </c>
      <c r="H12" s="95">
        <f t="shared" si="2"/>
        <v>91.414653079921692</v>
      </c>
      <c r="I12" s="4">
        <f t="shared" si="0"/>
        <v>0.53573195075604807</v>
      </c>
    </row>
    <row r="13" spans="1:10" ht="15.75" hidden="1" thickBot="1" x14ac:dyDescent="0.25">
      <c r="A13" s="21">
        <f t="shared" si="1"/>
        <v>2005</v>
      </c>
      <c r="B13" s="22" t="s">
        <v>16</v>
      </c>
      <c r="C13" s="23">
        <v>100.5</v>
      </c>
      <c r="D13" s="22">
        <v>126.5</v>
      </c>
      <c r="E13" s="22">
        <v>110.3</v>
      </c>
      <c r="F13" s="22">
        <v>100.1</v>
      </c>
      <c r="G13" s="22">
        <v>3.29</v>
      </c>
      <c r="H13" s="96">
        <f t="shared" si="2"/>
        <v>91.640641159377168</v>
      </c>
      <c r="I13" s="4">
        <f t="shared" si="0"/>
        <v>0.24721209548090717</v>
      </c>
    </row>
    <row r="14" spans="1:10" ht="15.75" hidden="1" thickBot="1" x14ac:dyDescent="0.25">
      <c r="A14" s="12">
        <f t="shared" si="1"/>
        <v>2005</v>
      </c>
      <c r="B14" s="13" t="s">
        <v>17</v>
      </c>
      <c r="C14" s="14">
        <v>100.5</v>
      </c>
      <c r="D14" s="13">
        <v>130.19999999999999</v>
      </c>
      <c r="E14" s="13">
        <v>111.2</v>
      </c>
      <c r="F14" s="14">
        <v>100</v>
      </c>
      <c r="G14" s="25">
        <v>3.34</v>
      </c>
      <c r="H14" s="94">
        <f t="shared" si="2"/>
        <v>92.197079298895403</v>
      </c>
      <c r="I14" s="4">
        <f t="shared" si="0"/>
        <v>0.60719581670156986</v>
      </c>
    </row>
    <row r="15" spans="1:10" ht="15.75" hidden="1" thickBot="1" x14ac:dyDescent="0.25">
      <c r="A15" s="38">
        <f t="shared" si="1"/>
        <v>2005</v>
      </c>
      <c r="B15" s="39" t="s">
        <v>18</v>
      </c>
      <c r="C15" s="40">
        <v>100.5</v>
      </c>
      <c r="D15" s="39">
        <v>132.80000000000001</v>
      </c>
      <c r="E15" s="39">
        <v>111.1</v>
      </c>
      <c r="F15" s="39">
        <v>100.1</v>
      </c>
      <c r="G15" s="80">
        <v>3.72</v>
      </c>
      <c r="H15" s="97">
        <f t="shared" si="2"/>
        <v>92.986932917933089</v>
      </c>
      <c r="I15" s="4">
        <f t="shared" si="0"/>
        <v>0.85670134568693324</v>
      </c>
    </row>
    <row r="16" spans="1:10" ht="15.75" hidden="1" thickBot="1" x14ac:dyDescent="0.25">
      <c r="A16" s="8">
        <v>2006</v>
      </c>
      <c r="B16" s="13" t="s">
        <v>8</v>
      </c>
      <c r="C16" s="14">
        <v>101.3</v>
      </c>
      <c r="D16" s="13">
        <v>125.9</v>
      </c>
      <c r="E16" s="13">
        <v>110.8</v>
      </c>
      <c r="F16" s="14">
        <v>99.9</v>
      </c>
      <c r="G16" s="13">
        <v>3.8</v>
      </c>
      <c r="H16" s="94">
        <f t="shared" si="2"/>
        <v>92.668805416705865</v>
      </c>
      <c r="I16" s="4">
        <f t="shared" si="0"/>
        <v>-0.34212065205763015</v>
      </c>
    </row>
    <row r="17" spans="1:9" ht="15.75" hidden="1" thickBot="1" x14ac:dyDescent="0.25">
      <c r="A17" s="12">
        <f>A16</f>
        <v>2006</v>
      </c>
      <c r="B17" s="13" t="s">
        <v>9</v>
      </c>
      <c r="C17" s="14">
        <v>101.3</v>
      </c>
      <c r="D17" s="14">
        <v>125.1</v>
      </c>
      <c r="E17" s="13">
        <v>110.8</v>
      </c>
      <c r="F17" s="13">
        <v>99.4</v>
      </c>
      <c r="G17" s="13">
        <v>3.69</v>
      </c>
      <c r="H17" s="94">
        <f t="shared" si="2"/>
        <v>92.388858566310347</v>
      </c>
      <c r="I17" s="4">
        <f t="shared" si="0"/>
        <v>-0.30209394535375206</v>
      </c>
    </row>
    <row r="18" spans="1:9" ht="15.75" hidden="1" thickBot="1" x14ac:dyDescent="0.25">
      <c r="A18" s="16">
        <f t="shared" ref="A18:A27" si="3">A17</f>
        <v>2006</v>
      </c>
      <c r="B18" s="17" t="s">
        <v>10</v>
      </c>
      <c r="C18" s="18">
        <v>101.3</v>
      </c>
      <c r="D18" s="17">
        <v>126.1</v>
      </c>
      <c r="E18" s="17">
        <v>110.4</v>
      </c>
      <c r="F18" s="18">
        <v>99.8</v>
      </c>
      <c r="G18" s="19">
        <v>3.71</v>
      </c>
      <c r="H18" s="95">
        <f t="shared" si="2"/>
        <v>92.542432970583306</v>
      </c>
      <c r="I18" s="4">
        <f t="shared" si="0"/>
        <v>0.16622610848983904</v>
      </c>
    </row>
    <row r="19" spans="1:9" ht="15.75" hidden="1" thickBot="1" x14ac:dyDescent="0.25">
      <c r="A19" s="21">
        <f t="shared" si="3"/>
        <v>2006</v>
      </c>
      <c r="B19" s="22" t="s">
        <v>11</v>
      </c>
      <c r="C19" s="23">
        <v>102.1</v>
      </c>
      <c r="D19" s="22">
        <v>126</v>
      </c>
      <c r="E19" s="22">
        <v>111.5</v>
      </c>
      <c r="F19" s="22">
        <v>99.4</v>
      </c>
      <c r="G19" s="22">
        <v>3.81</v>
      </c>
      <c r="H19" s="96">
        <f t="shared" si="2"/>
        <v>93.137418618440705</v>
      </c>
      <c r="I19" s="4">
        <f t="shared" si="0"/>
        <v>0.64293279175675955</v>
      </c>
    </row>
    <row r="20" spans="1:9" ht="15.75" hidden="1" thickBot="1" x14ac:dyDescent="0.25">
      <c r="A20" s="12">
        <f t="shared" si="3"/>
        <v>2006</v>
      </c>
      <c r="B20" s="13" t="s">
        <v>12</v>
      </c>
      <c r="C20" s="14">
        <v>102.1</v>
      </c>
      <c r="D20" s="13">
        <v>127.5</v>
      </c>
      <c r="E20" s="13">
        <v>111.9</v>
      </c>
      <c r="F20" s="14">
        <v>99.5</v>
      </c>
      <c r="G20" s="25">
        <v>4</v>
      </c>
      <c r="H20" s="94">
        <f t="shared" si="2"/>
        <v>93.591958180466236</v>
      </c>
      <c r="I20" s="4">
        <f t="shared" si="0"/>
        <v>0.4880310929462825</v>
      </c>
    </row>
    <row r="21" spans="1:9" ht="15.75" hidden="1" thickBot="1" x14ac:dyDescent="0.25">
      <c r="A21" s="16">
        <f t="shared" si="3"/>
        <v>2006</v>
      </c>
      <c r="B21" s="17" t="s">
        <v>13</v>
      </c>
      <c r="C21" s="18">
        <v>102.1</v>
      </c>
      <c r="D21" s="17">
        <v>128.9</v>
      </c>
      <c r="E21" s="17">
        <v>112.4</v>
      </c>
      <c r="F21" s="18">
        <v>99.4</v>
      </c>
      <c r="G21" s="17">
        <v>4.13</v>
      </c>
      <c r="H21" s="95">
        <f t="shared" si="2"/>
        <v>93.947510099286887</v>
      </c>
      <c r="I21" s="4">
        <f t="shared" si="0"/>
        <v>0.37989580059332462</v>
      </c>
    </row>
    <row r="22" spans="1:9" ht="15.75" hidden="1" thickBot="1" x14ac:dyDescent="0.25">
      <c r="A22" s="21">
        <f t="shared" si="3"/>
        <v>2006</v>
      </c>
      <c r="B22" s="26" t="s">
        <v>31</v>
      </c>
      <c r="C22" s="23">
        <v>102.9</v>
      </c>
      <c r="D22" s="22">
        <v>130.30000000000001</v>
      </c>
      <c r="E22" s="22">
        <v>112.5</v>
      </c>
      <c r="F22" s="23">
        <v>98.8</v>
      </c>
      <c r="G22" s="27">
        <v>4.0999999999999996</v>
      </c>
      <c r="H22" s="96">
        <f t="shared" si="2"/>
        <v>94.469743503759759</v>
      </c>
      <c r="I22" s="4">
        <f t="shared" si="0"/>
        <v>0.55587785553971292</v>
      </c>
    </row>
    <row r="23" spans="1:9" ht="15.75" hidden="1" thickBot="1" x14ac:dyDescent="0.25">
      <c r="A23" s="12">
        <f t="shared" si="3"/>
        <v>2006</v>
      </c>
      <c r="B23" s="13" t="s">
        <v>14</v>
      </c>
      <c r="C23" s="14">
        <v>102.9</v>
      </c>
      <c r="D23" s="13">
        <v>130.30000000000001</v>
      </c>
      <c r="E23" s="13">
        <v>112.8</v>
      </c>
      <c r="F23" s="14">
        <v>98</v>
      </c>
      <c r="G23" s="13">
        <v>4.21</v>
      </c>
      <c r="H23" s="94">
        <f t="shared" si="2"/>
        <v>94.554737143960054</v>
      </c>
      <c r="I23" s="4">
        <f t="shared" si="0"/>
        <v>8.9969165838703374E-2</v>
      </c>
    </row>
    <row r="24" spans="1:9" ht="15.75" hidden="1" thickBot="1" x14ac:dyDescent="0.25">
      <c r="A24" s="16">
        <f t="shared" si="3"/>
        <v>2006</v>
      </c>
      <c r="B24" s="17" t="s">
        <v>15</v>
      </c>
      <c r="C24" s="18">
        <v>102.9</v>
      </c>
      <c r="D24" s="17">
        <v>131.19999999999999</v>
      </c>
      <c r="E24" s="17">
        <v>112.5</v>
      </c>
      <c r="F24" s="18">
        <v>98.3</v>
      </c>
      <c r="G24" s="19">
        <v>4.16</v>
      </c>
      <c r="H24" s="95">
        <f t="shared" si="2"/>
        <v>94.606014083732617</v>
      </c>
      <c r="I24" s="4">
        <f t="shared" si="0"/>
        <v>5.4229900395676663E-2</v>
      </c>
    </row>
    <row r="25" spans="1:9" ht="15.75" hidden="1" thickBot="1" x14ac:dyDescent="0.25">
      <c r="A25" s="21">
        <f t="shared" si="3"/>
        <v>2006</v>
      </c>
      <c r="B25" s="22" t="s">
        <v>16</v>
      </c>
      <c r="C25" s="23">
        <v>103.7</v>
      </c>
      <c r="D25" s="22">
        <v>133.9</v>
      </c>
      <c r="E25" s="22">
        <v>112.5</v>
      </c>
      <c r="F25" s="23">
        <v>98.2</v>
      </c>
      <c r="G25" s="22">
        <v>4.1500000000000004</v>
      </c>
      <c r="H25" s="96">
        <f t="shared" si="2"/>
        <v>95.347584194028585</v>
      </c>
      <c r="I25" s="4">
        <f t="shared" si="0"/>
        <v>0.78385091844121924</v>
      </c>
    </row>
    <row r="26" spans="1:9" ht="15.75" hidden="1" thickBot="1" x14ac:dyDescent="0.25">
      <c r="A26" s="12">
        <f t="shared" si="3"/>
        <v>2006</v>
      </c>
      <c r="B26" s="13" t="s">
        <v>17</v>
      </c>
      <c r="C26" s="14">
        <v>103.7</v>
      </c>
      <c r="D26" s="13">
        <v>128.4</v>
      </c>
      <c r="E26" s="13">
        <v>112.9</v>
      </c>
      <c r="F26" s="14">
        <v>97.8</v>
      </c>
      <c r="G26" s="25">
        <v>4.1399999999999997</v>
      </c>
      <c r="H26" s="94">
        <f t="shared" si="2"/>
        <v>94.670874120393549</v>
      </c>
      <c r="I26" s="4">
        <f t="shared" si="0"/>
        <v>-0.70972964795621607</v>
      </c>
    </row>
    <row r="27" spans="1:9" ht="15.75" hidden="1" thickBot="1" x14ac:dyDescent="0.25">
      <c r="A27" s="38">
        <f t="shared" si="3"/>
        <v>2006</v>
      </c>
      <c r="B27" s="39" t="s">
        <v>18</v>
      </c>
      <c r="C27" s="40">
        <v>103.7</v>
      </c>
      <c r="D27" s="39">
        <v>124.1</v>
      </c>
      <c r="E27" s="39">
        <v>112.8</v>
      </c>
      <c r="F27" s="40">
        <v>97.5</v>
      </c>
      <c r="G27" s="39">
        <v>4.3499999999999996</v>
      </c>
      <c r="H27" s="97">
        <f t="shared" si="2"/>
        <v>94.388387509788657</v>
      </c>
      <c r="I27" s="4">
        <f t="shared" si="0"/>
        <v>-0.29838808739174794</v>
      </c>
    </row>
    <row r="28" spans="1:9" ht="15.75" hidden="1" thickBot="1" x14ac:dyDescent="0.25">
      <c r="A28" s="8">
        <v>2007</v>
      </c>
      <c r="B28" s="13" t="s">
        <v>8</v>
      </c>
      <c r="C28" s="14">
        <v>104.4</v>
      </c>
      <c r="D28" s="13">
        <v>123.7</v>
      </c>
      <c r="E28" s="13">
        <v>112.7</v>
      </c>
      <c r="F28" s="14">
        <v>97.4</v>
      </c>
      <c r="G28" s="25">
        <v>4.3</v>
      </c>
      <c r="H28" s="94">
        <f t="shared" si="2"/>
        <v>94.648420509917301</v>
      </c>
      <c r="I28" s="4">
        <f t="shared" si="0"/>
        <v>0.27549257592908527</v>
      </c>
    </row>
    <row r="29" spans="1:9" ht="15.75" hidden="1" thickBot="1" x14ac:dyDescent="0.25">
      <c r="A29" s="12">
        <f>A28</f>
        <v>2007</v>
      </c>
      <c r="B29" s="13" t="s">
        <v>9</v>
      </c>
      <c r="C29" s="14">
        <v>104.4</v>
      </c>
      <c r="D29" s="13">
        <v>123.1</v>
      </c>
      <c r="E29" s="13">
        <v>112.8</v>
      </c>
      <c r="F29" s="14">
        <v>97.6</v>
      </c>
      <c r="G29" s="13">
        <v>4.37</v>
      </c>
      <c r="H29" s="94">
        <f t="shared" si="2"/>
        <v>94.690506249993803</v>
      </c>
      <c r="I29" s="4">
        <f t="shared" si="0"/>
        <v>4.4465337984263359E-2</v>
      </c>
    </row>
    <row r="30" spans="1:9" ht="15.75" hidden="1" thickBot="1" x14ac:dyDescent="0.25">
      <c r="A30" s="16">
        <f t="shared" ref="A30:A39" si="4">A29</f>
        <v>2007</v>
      </c>
      <c r="B30" s="17" t="s">
        <v>10</v>
      </c>
      <c r="C30" s="18">
        <v>104.4</v>
      </c>
      <c r="D30" s="17">
        <v>118.5</v>
      </c>
      <c r="E30" s="17">
        <v>112.4</v>
      </c>
      <c r="F30" s="18">
        <v>97.9</v>
      </c>
      <c r="G30" s="19">
        <v>4.46</v>
      </c>
      <c r="H30" s="95">
        <f>100+((C30-$C$40)/$C$40*100*$C$2)+((D30-$D$40)/$D$40*100*$D$2)+((E30-$E$40)/$E$40*100*$E$2)+((F30-$F$40)/$F$40*100*$F$2)+((G30-$G$40)/$G$40*100*$G$2)</f>
        <v>94.256195507008883</v>
      </c>
      <c r="I30" s="4">
        <f t="shared" si="0"/>
        <v>-0.45866345020723576</v>
      </c>
    </row>
    <row r="31" spans="1:9" ht="15.75" hidden="1" thickBot="1" x14ac:dyDescent="0.25">
      <c r="A31" s="21">
        <f t="shared" si="4"/>
        <v>2007</v>
      </c>
      <c r="B31" s="22" t="s">
        <v>11</v>
      </c>
      <c r="C31" s="23">
        <v>105.3</v>
      </c>
      <c r="D31" s="22">
        <v>122.2</v>
      </c>
      <c r="E31" s="22">
        <v>113.6</v>
      </c>
      <c r="F31" s="23">
        <v>98.3</v>
      </c>
      <c r="G31" s="22">
        <v>4.4400000000000004</v>
      </c>
      <c r="H31" s="96">
        <f t="shared" si="2"/>
        <v>95.288944097184881</v>
      </c>
      <c r="I31" s="4">
        <f t="shared" si="0"/>
        <v>1.095682447844188</v>
      </c>
    </row>
    <row r="32" spans="1:9" ht="15.75" hidden="1" thickBot="1" x14ac:dyDescent="0.25">
      <c r="A32" s="12">
        <f t="shared" si="4"/>
        <v>2007</v>
      </c>
      <c r="B32" s="13" t="s">
        <v>12</v>
      </c>
      <c r="C32" s="14">
        <v>105.3</v>
      </c>
      <c r="D32" s="13">
        <v>123.2</v>
      </c>
      <c r="E32" s="13">
        <v>114.1</v>
      </c>
      <c r="F32" s="14">
        <v>98</v>
      </c>
      <c r="G32" s="25">
        <v>4.4800000000000004</v>
      </c>
      <c r="H32" s="94">
        <f t="shared" si="2"/>
        <v>95.46513183110342</v>
      </c>
      <c r="I32" s="4">
        <f t="shared" si="0"/>
        <v>0.18489840095073951</v>
      </c>
    </row>
    <row r="33" spans="1:10" ht="15.75" hidden="1" thickBot="1" x14ac:dyDescent="0.25">
      <c r="A33" s="16">
        <f t="shared" si="4"/>
        <v>2007</v>
      </c>
      <c r="B33" s="17" t="s">
        <v>13</v>
      </c>
      <c r="C33" s="18">
        <v>105.3</v>
      </c>
      <c r="D33" s="17">
        <v>125.1</v>
      </c>
      <c r="E33" s="17">
        <v>114.3</v>
      </c>
      <c r="F33" s="18">
        <v>97.8</v>
      </c>
      <c r="G33" s="17">
        <v>4.59</v>
      </c>
      <c r="H33" s="95">
        <f t="shared" si="2"/>
        <v>95.825002310907621</v>
      </c>
      <c r="I33" s="4">
        <f t="shared" si="0"/>
        <v>0.37696536201393649</v>
      </c>
    </row>
    <row r="34" spans="1:10" ht="15.75" hidden="1" thickBot="1" x14ac:dyDescent="0.25">
      <c r="A34" s="21">
        <f t="shared" si="4"/>
        <v>2007</v>
      </c>
      <c r="B34" s="26" t="s">
        <v>31</v>
      </c>
      <c r="C34" s="23">
        <v>106.3</v>
      </c>
      <c r="D34" s="22">
        <v>124.8</v>
      </c>
      <c r="E34" s="22">
        <v>114.5</v>
      </c>
      <c r="F34" s="23">
        <v>97.6</v>
      </c>
      <c r="G34" s="27">
        <v>4.7699999999999996</v>
      </c>
      <c r="H34" s="96">
        <f t="shared" si="2"/>
        <v>96.5635045311178</v>
      </c>
      <c r="I34" s="4">
        <f t="shared" si="0"/>
        <v>0.77067800928830954</v>
      </c>
    </row>
    <row r="35" spans="1:10" ht="15.75" hidden="1" thickBot="1" x14ac:dyDescent="0.25">
      <c r="A35" s="12">
        <f t="shared" si="4"/>
        <v>2007</v>
      </c>
      <c r="B35" s="13" t="s">
        <v>14</v>
      </c>
      <c r="C35" s="14">
        <v>106.3</v>
      </c>
      <c r="D35" s="14">
        <v>127.6</v>
      </c>
      <c r="E35" s="13">
        <v>114.4</v>
      </c>
      <c r="F35" s="14">
        <v>97.6</v>
      </c>
      <c r="G35" s="13">
        <v>4.91</v>
      </c>
      <c r="H35" s="94">
        <f t="shared" si="2"/>
        <v>97.06601208645553</v>
      </c>
      <c r="I35" s="4">
        <f t="shared" si="0"/>
        <v>0.52039076023363984</v>
      </c>
    </row>
    <row r="36" spans="1:10" ht="15.75" hidden="1" thickBot="1" x14ac:dyDescent="0.25">
      <c r="A36" s="16">
        <f t="shared" si="4"/>
        <v>2007</v>
      </c>
      <c r="B36" s="17" t="s">
        <v>15</v>
      </c>
      <c r="C36" s="18">
        <v>106.3</v>
      </c>
      <c r="D36" s="17">
        <v>128.80000000000001</v>
      </c>
      <c r="E36" s="17">
        <v>113.9</v>
      </c>
      <c r="F36" s="18">
        <v>97.6</v>
      </c>
      <c r="G36" s="19">
        <v>4.8099999999999996</v>
      </c>
      <c r="H36" s="95">
        <f t="shared" ref="H36:H75" si="5">100+((C36-$C$40)/$C$40*100*$C$2)+((D36-$D$40)/$D$40*100*$D$2)+((E36-$E$40)/$E$40*100*$E$2)+((F36-$F$40)/$F$40*100*$F$2)+((G36-$G$40)/$G$40*100*$G$2)</f>
        <v>97.048451031158621</v>
      </c>
      <c r="I36" s="4">
        <f t="shared" si="0"/>
        <v>-1.8091868533001612E-2</v>
      </c>
    </row>
    <row r="37" spans="1:10" ht="15.75" hidden="1" thickBot="1" x14ac:dyDescent="0.25">
      <c r="A37" s="21">
        <f t="shared" si="4"/>
        <v>2007</v>
      </c>
      <c r="B37" s="22" t="s">
        <v>16</v>
      </c>
      <c r="C37" s="23">
        <v>107.5</v>
      </c>
      <c r="D37" s="22">
        <v>128</v>
      </c>
      <c r="E37" s="22">
        <v>113.7</v>
      </c>
      <c r="F37" s="23">
        <v>97.4</v>
      </c>
      <c r="G37" s="22">
        <v>4.82</v>
      </c>
      <c r="H37" s="96">
        <f t="shared" si="5"/>
        <v>97.596384573721011</v>
      </c>
      <c r="I37" s="4">
        <f t="shared" ref="I37:I63" si="6">(H37-H36)/H36*100</f>
        <v>0.56459792685044419</v>
      </c>
    </row>
    <row r="38" spans="1:10" ht="15.75" hidden="1" thickBot="1" x14ac:dyDescent="0.25">
      <c r="A38" s="12">
        <f t="shared" si="4"/>
        <v>2007</v>
      </c>
      <c r="B38" s="13" t="s">
        <v>17</v>
      </c>
      <c r="C38" s="14">
        <v>107.5</v>
      </c>
      <c r="D38" s="13">
        <v>130.69999999999999</v>
      </c>
      <c r="E38" s="13">
        <v>114.3</v>
      </c>
      <c r="F38" s="14">
        <v>97.4</v>
      </c>
      <c r="G38" s="25">
        <v>4.84</v>
      </c>
      <c r="H38" s="94">
        <f t="shared" si="5"/>
        <v>97.984528819412418</v>
      </c>
      <c r="I38" s="4">
        <f t="shared" si="6"/>
        <v>0.39770350857435322</v>
      </c>
    </row>
    <row r="39" spans="1:10" ht="15.75" hidden="1" thickBot="1" x14ac:dyDescent="0.25">
      <c r="A39" s="38">
        <f t="shared" si="4"/>
        <v>2007</v>
      </c>
      <c r="B39" s="39" t="s">
        <v>18</v>
      </c>
      <c r="C39" s="40">
        <v>107.5</v>
      </c>
      <c r="D39" s="39">
        <v>131.30000000000001</v>
      </c>
      <c r="E39" s="39">
        <v>114.7</v>
      </c>
      <c r="F39" s="40">
        <v>97.3</v>
      </c>
      <c r="G39" s="39">
        <v>4.8499999999999996</v>
      </c>
      <c r="H39" s="97">
        <f t="shared" si="5"/>
        <v>98.086972839842176</v>
      </c>
      <c r="I39" s="4">
        <f t="shared" si="6"/>
        <v>0.10455122014064502</v>
      </c>
    </row>
    <row r="40" spans="1:10" s="2" customFormat="1" ht="16.5" hidden="1" thickBot="1" x14ac:dyDescent="0.3">
      <c r="A40" s="8">
        <v>2008</v>
      </c>
      <c r="B40" s="8" t="s">
        <v>8</v>
      </c>
      <c r="C40" s="9">
        <v>108.6</v>
      </c>
      <c r="D40" s="9">
        <v>142.80000000000001</v>
      </c>
      <c r="E40" s="9">
        <v>115.5</v>
      </c>
      <c r="F40" s="9">
        <v>97.1</v>
      </c>
      <c r="G40" s="10">
        <v>4.7699999999999996</v>
      </c>
      <c r="H40" s="50">
        <f t="shared" si="5"/>
        <v>100</v>
      </c>
      <c r="I40" s="11">
        <f t="shared" si="6"/>
        <v>1.9503376490998887</v>
      </c>
      <c r="J40" s="42"/>
    </row>
    <row r="41" spans="1:10" ht="15.75" hidden="1" thickBot="1" x14ac:dyDescent="0.25">
      <c r="A41" s="12">
        <f>A40</f>
        <v>2008</v>
      </c>
      <c r="B41" s="13" t="s">
        <v>9</v>
      </c>
      <c r="C41" s="14">
        <v>108.6</v>
      </c>
      <c r="D41" s="14">
        <v>136.30000000000001</v>
      </c>
      <c r="E41" s="14">
        <v>115.4</v>
      </c>
      <c r="F41" s="14">
        <v>96.7</v>
      </c>
      <c r="G41" s="25">
        <v>4.93</v>
      </c>
      <c r="H41" s="51">
        <f t="shared" si="5"/>
        <v>99.383446750672732</v>
      </c>
      <c r="I41" s="15">
        <f t="shared" si="6"/>
        <v>-0.61655324932726785</v>
      </c>
      <c r="J41" s="43"/>
    </row>
    <row r="42" spans="1:10" ht="16.5" hidden="1" thickBot="1" x14ac:dyDescent="0.3">
      <c r="A42" s="16">
        <f t="shared" ref="A42:A51" si="7">A41</f>
        <v>2008</v>
      </c>
      <c r="B42" s="17" t="s">
        <v>10</v>
      </c>
      <c r="C42" s="18">
        <v>108.6</v>
      </c>
      <c r="D42" s="18">
        <v>140.19999999999999</v>
      </c>
      <c r="E42" s="18">
        <v>115.7</v>
      </c>
      <c r="F42" s="18">
        <v>97.6</v>
      </c>
      <c r="G42" s="19">
        <v>4.59</v>
      </c>
      <c r="H42" s="52">
        <f t="shared" si="5"/>
        <v>99.524257885272576</v>
      </c>
      <c r="I42" s="20">
        <f t="shared" si="6"/>
        <v>0.14168469619805207</v>
      </c>
      <c r="J42" s="62"/>
    </row>
    <row r="43" spans="1:10" ht="15.75" hidden="1" thickBot="1" x14ac:dyDescent="0.25">
      <c r="A43" s="21">
        <f t="shared" si="7"/>
        <v>2008</v>
      </c>
      <c r="B43" s="22" t="s">
        <v>11</v>
      </c>
      <c r="C43" s="23">
        <v>109.9</v>
      </c>
      <c r="D43" s="23">
        <v>140.9</v>
      </c>
      <c r="E43" s="23">
        <v>117.1</v>
      </c>
      <c r="F43" s="23">
        <v>97.3</v>
      </c>
      <c r="G43" s="27">
        <v>4.55</v>
      </c>
      <c r="H43" s="53">
        <f t="shared" si="5"/>
        <v>100.34467210919578</v>
      </c>
      <c r="I43" s="24">
        <f t="shared" si="6"/>
        <v>0.82433593714303066</v>
      </c>
    </row>
    <row r="44" spans="1:10" ht="15.75" hidden="1" thickBot="1" x14ac:dyDescent="0.25">
      <c r="A44" s="12">
        <f t="shared" si="7"/>
        <v>2008</v>
      </c>
      <c r="B44" s="13" t="s">
        <v>12</v>
      </c>
      <c r="C44" s="14">
        <v>109.9</v>
      </c>
      <c r="D44" s="14">
        <v>149.4</v>
      </c>
      <c r="E44" s="14">
        <v>117.6</v>
      </c>
      <c r="F44" s="14">
        <v>97.3</v>
      </c>
      <c r="G44" s="25">
        <v>4.72</v>
      </c>
      <c r="H44" s="51">
        <f t="shared" si="5"/>
        <v>101.60504538372001</v>
      </c>
      <c r="I44" s="15">
        <f t="shared" si="6"/>
        <v>1.2560440410355618</v>
      </c>
    </row>
    <row r="45" spans="1:10" ht="15.75" hidden="1" thickBot="1" x14ac:dyDescent="0.25">
      <c r="A45" s="16">
        <f t="shared" si="7"/>
        <v>2008</v>
      </c>
      <c r="B45" s="17" t="s">
        <v>13</v>
      </c>
      <c r="C45" s="18">
        <v>109.9</v>
      </c>
      <c r="D45" s="18">
        <v>150.80000000000001</v>
      </c>
      <c r="E45" s="18">
        <v>118</v>
      </c>
      <c r="F45" s="18">
        <v>97.1</v>
      </c>
      <c r="G45" s="19">
        <v>4.9400000000000004</v>
      </c>
      <c r="H45" s="52">
        <f t="shared" si="5"/>
        <v>102.05760964772745</v>
      </c>
      <c r="I45" s="20">
        <f t="shared" si="6"/>
        <v>0.44541514872444393</v>
      </c>
      <c r="J45" s="35"/>
    </row>
    <row r="46" spans="1:10" ht="15.75" hidden="1" thickBot="1" x14ac:dyDescent="0.25">
      <c r="A46" s="21">
        <f t="shared" si="7"/>
        <v>2008</v>
      </c>
      <c r="B46" s="26" t="s">
        <v>31</v>
      </c>
      <c r="C46" s="28">
        <v>111</v>
      </c>
      <c r="D46" s="23">
        <v>157.69999999999999</v>
      </c>
      <c r="E46" s="23">
        <v>118.4</v>
      </c>
      <c r="F46" s="23">
        <v>97</v>
      </c>
      <c r="G46" s="27">
        <v>5.22</v>
      </c>
      <c r="H46" s="53">
        <f t="shared" si="5"/>
        <v>103.85741111629646</v>
      </c>
      <c r="I46" s="24">
        <f t="shared" si="6"/>
        <v>1.7635152094796218</v>
      </c>
      <c r="J46" s="37"/>
    </row>
    <row r="47" spans="1:10" ht="16.5" hidden="1" thickBot="1" x14ac:dyDescent="0.3">
      <c r="A47" s="12">
        <f t="shared" si="7"/>
        <v>2008</v>
      </c>
      <c r="B47" s="13" t="s">
        <v>14</v>
      </c>
      <c r="C47" s="14">
        <v>111</v>
      </c>
      <c r="D47" s="14">
        <v>165.5</v>
      </c>
      <c r="E47" s="14">
        <v>118.8</v>
      </c>
      <c r="F47" s="14">
        <v>97.2</v>
      </c>
      <c r="G47" s="25">
        <v>5.48</v>
      </c>
      <c r="H47" s="51">
        <f t="shared" si="5"/>
        <v>105.15926978784404</v>
      </c>
      <c r="I47" s="15">
        <f t="shared" si="6"/>
        <v>1.2535057994944576</v>
      </c>
      <c r="J47" s="36"/>
    </row>
    <row r="48" spans="1:10" ht="15.75" hidden="1" thickBot="1" x14ac:dyDescent="0.25">
      <c r="A48" s="16">
        <f t="shared" si="7"/>
        <v>2008</v>
      </c>
      <c r="B48" s="17" t="s">
        <v>15</v>
      </c>
      <c r="C48" s="18">
        <v>111</v>
      </c>
      <c r="D48" s="18">
        <v>166.2</v>
      </c>
      <c r="E48" s="18">
        <v>118.4</v>
      </c>
      <c r="F48" s="18">
        <v>97.6</v>
      </c>
      <c r="G48" s="19">
        <v>5.36</v>
      </c>
      <c r="H48" s="52">
        <f t="shared" si="5"/>
        <v>105.10102927747189</v>
      </c>
      <c r="I48" s="20">
        <f t="shared" si="6"/>
        <v>-5.538314452890631E-2</v>
      </c>
    </row>
    <row r="49" spans="1:13" ht="15.75" hidden="1" thickBot="1" x14ac:dyDescent="0.25">
      <c r="A49" s="21">
        <f t="shared" si="7"/>
        <v>2008</v>
      </c>
      <c r="B49" s="22" t="s">
        <v>16</v>
      </c>
      <c r="C49" s="23">
        <v>112.4</v>
      </c>
      <c r="D49" s="23">
        <v>153.4</v>
      </c>
      <c r="E49" s="23">
        <v>118.6</v>
      </c>
      <c r="F49" s="23">
        <v>97.6</v>
      </c>
      <c r="G49" s="27">
        <v>5.15</v>
      </c>
      <c r="H49" s="53">
        <f t="shared" si="5"/>
        <v>104.1004022871024</v>
      </c>
      <c r="I49" s="24">
        <f t="shared" si="6"/>
        <v>-0.95206202760183489</v>
      </c>
    </row>
    <row r="50" spans="1:13" ht="15.75" hidden="1" thickBot="1" x14ac:dyDescent="0.25">
      <c r="A50" s="12">
        <f t="shared" si="7"/>
        <v>2008</v>
      </c>
      <c r="B50" s="13" t="s">
        <v>17</v>
      </c>
      <c r="C50" s="14">
        <v>112.4</v>
      </c>
      <c r="D50" s="14">
        <v>152.5</v>
      </c>
      <c r="E50" s="14">
        <v>119.1</v>
      </c>
      <c r="F50" s="14">
        <v>98</v>
      </c>
      <c r="G50" s="25">
        <v>5.15</v>
      </c>
      <c r="H50" s="51">
        <f t="shared" si="5"/>
        <v>104.06496664481814</v>
      </c>
      <c r="I50" s="15">
        <f t="shared" si="6"/>
        <v>-3.4039870649612267E-2</v>
      </c>
    </row>
    <row r="51" spans="1:13" ht="15.75" hidden="1" thickBot="1" x14ac:dyDescent="0.25">
      <c r="A51" s="38">
        <f t="shared" si="7"/>
        <v>2008</v>
      </c>
      <c r="B51" s="39" t="s">
        <v>18</v>
      </c>
      <c r="C51" s="40">
        <v>112.4</v>
      </c>
      <c r="D51" s="40">
        <v>142</v>
      </c>
      <c r="E51" s="40">
        <v>118.9</v>
      </c>
      <c r="F51" s="40">
        <v>99.5</v>
      </c>
      <c r="G51" s="80">
        <v>5.45</v>
      </c>
      <c r="H51" s="54">
        <f t="shared" si="5"/>
        <v>103.31750424738101</v>
      </c>
      <c r="I51" s="41">
        <f t="shared" si="6"/>
        <v>-0.71826515832968085</v>
      </c>
    </row>
    <row r="52" spans="1:13" ht="15.75" hidden="1" thickBot="1" x14ac:dyDescent="0.25">
      <c r="A52" s="8">
        <v>2009</v>
      </c>
      <c r="B52" s="13" t="s">
        <v>8</v>
      </c>
      <c r="C52" s="14">
        <v>113.5</v>
      </c>
      <c r="D52" s="14">
        <v>134.19999999999999</v>
      </c>
      <c r="E52" s="14">
        <v>118.6</v>
      </c>
      <c r="F52" s="14">
        <v>100.3</v>
      </c>
      <c r="G52" s="141">
        <v>4.97</v>
      </c>
      <c r="H52" s="51">
        <f t="shared" si="5"/>
        <v>102.44626518020767</v>
      </c>
      <c r="I52" s="15">
        <f t="shared" si="6"/>
        <v>-0.84326375624333727</v>
      </c>
      <c r="J52" s="107"/>
    </row>
    <row r="53" spans="1:13" ht="15.75" hidden="1" thickBot="1" x14ac:dyDescent="0.25">
      <c r="A53" s="12">
        <f>A52</f>
        <v>2009</v>
      </c>
      <c r="B53" s="13" t="s">
        <v>9</v>
      </c>
      <c r="C53" s="14">
        <v>113.5</v>
      </c>
      <c r="D53" s="14">
        <v>123.2</v>
      </c>
      <c r="E53" s="14">
        <v>118.2</v>
      </c>
      <c r="F53" s="14">
        <v>100.3</v>
      </c>
      <c r="G53" s="141">
        <v>4.4400000000000004</v>
      </c>
      <c r="H53" s="51">
        <f t="shared" si="5"/>
        <v>100.44236907631158</v>
      </c>
      <c r="I53" s="15">
        <f t="shared" si="6"/>
        <v>-1.9560460309325587</v>
      </c>
      <c r="J53" s="79"/>
    </row>
    <row r="54" spans="1:13" ht="16.5" hidden="1" thickBot="1" x14ac:dyDescent="0.3">
      <c r="A54" s="16">
        <f t="shared" ref="A54:A63" si="8">A53</f>
        <v>2009</v>
      </c>
      <c r="B54" s="17" t="s">
        <v>10</v>
      </c>
      <c r="C54" s="18">
        <v>113.5</v>
      </c>
      <c r="D54" s="18">
        <v>121.5</v>
      </c>
      <c r="E54" s="18">
        <v>117.8</v>
      </c>
      <c r="F54" s="18">
        <v>98.7</v>
      </c>
      <c r="G54" s="142">
        <v>4.42</v>
      </c>
      <c r="H54" s="52">
        <f t="shared" si="5"/>
        <v>100.03882454261429</v>
      </c>
      <c r="I54" s="20">
        <f t="shared" si="6"/>
        <v>-0.40176723967023387</v>
      </c>
      <c r="J54" s="106"/>
    </row>
    <row r="55" spans="1:13" ht="15.75" hidden="1" thickBot="1" x14ac:dyDescent="0.25">
      <c r="A55" s="21">
        <f t="shared" si="8"/>
        <v>2009</v>
      </c>
      <c r="B55" s="22" t="s">
        <v>11</v>
      </c>
      <c r="C55" s="23">
        <v>114.5</v>
      </c>
      <c r="D55" s="23">
        <v>120.9</v>
      </c>
      <c r="E55" s="23">
        <v>119.3</v>
      </c>
      <c r="F55" s="23">
        <v>100.5</v>
      </c>
      <c r="G55" s="143">
        <v>4.1500000000000004</v>
      </c>
      <c r="H55" s="53">
        <f t="shared" si="5"/>
        <v>100.45099393243727</v>
      </c>
      <c r="I55" s="24">
        <f t="shared" si="6"/>
        <v>0.4120094290466228</v>
      </c>
    </row>
    <row r="56" spans="1:13" ht="15.75" hidden="1" thickBot="1" x14ac:dyDescent="0.25">
      <c r="A56" s="12">
        <f t="shared" si="8"/>
        <v>2009</v>
      </c>
      <c r="B56" s="13" t="s">
        <v>12</v>
      </c>
      <c r="C56" s="14">
        <v>114.5</v>
      </c>
      <c r="D56" s="14">
        <v>118.4</v>
      </c>
      <c r="E56" s="14">
        <v>119.7</v>
      </c>
      <c r="F56" s="14">
        <v>100.9</v>
      </c>
      <c r="G56" s="141">
        <v>3.93</v>
      </c>
      <c r="H56" s="51">
        <f t="shared" si="5"/>
        <v>99.941426133001983</v>
      </c>
      <c r="I56" s="15">
        <f t="shared" si="6"/>
        <v>-0.50727999742642715</v>
      </c>
      <c r="J56" s="101"/>
    </row>
    <row r="57" spans="1:13" ht="15.75" hidden="1" thickBot="1" x14ac:dyDescent="0.25">
      <c r="A57" s="16">
        <f t="shared" si="8"/>
        <v>2009</v>
      </c>
      <c r="B57" s="17" t="s">
        <v>13</v>
      </c>
      <c r="C57" s="18">
        <v>114.5</v>
      </c>
      <c r="D57" s="18">
        <v>122.3</v>
      </c>
      <c r="E57" s="18">
        <v>119.6</v>
      </c>
      <c r="F57" s="18">
        <v>99.7</v>
      </c>
      <c r="G57" s="142">
        <v>3.89</v>
      </c>
      <c r="H57" s="52">
        <f t="shared" si="5"/>
        <v>100.23724543427278</v>
      </c>
      <c r="I57" s="20">
        <f t="shared" si="6"/>
        <v>0.2959926756269422</v>
      </c>
      <c r="J57" s="102"/>
    </row>
    <row r="58" spans="1:13" ht="15.75" hidden="1" thickBot="1" x14ac:dyDescent="0.25">
      <c r="A58" s="21">
        <f t="shared" si="8"/>
        <v>2009</v>
      </c>
      <c r="B58" s="26" t="s">
        <v>31</v>
      </c>
      <c r="C58" s="23">
        <v>115.6</v>
      </c>
      <c r="D58" s="23">
        <v>123.4</v>
      </c>
      <c r="E58" s="23">
        <v>119.9</v>
      </c>
      <c r="F58" s="23">
        <v>99.9</v>
      </c>
      <c r="G58" s="143">
        <v>3.81</v>
      </c>
      <c r="H58" s="53">
        <f t="shared" si="5"/>
        <v>100.91462050192989</v>
      </c>
      <c r="I58" s="24">
        <f t="shared" si="6"/>
        <v>0.67577182984470152</v>
      </c>
      <c r="J58" s="103"/>
    </row>
    <row r="59" spans="1:13" ht="15.75" hidden="1" thickBot="1" x14ac:dyDescent="0.25">
      <c r="A59" s="32">
        <f t="shared" si="8"/>
        <v>2009</v>
      </c>
      <c r="B59" s="33" t="s">
        <v>14</v>
      </c>
      <c r="C59" s="34">
        <v>115.6</v>
      </c>
      <c r="D59" s="34">
        <v>127.5</v>
      </c>
      <c r="E59" s="34">
        <v>120.2</v>
      </c>
      <c r="F59" s="34">
        <v>98.5</v>
      </c>
      <c r="G59" s="144">
        <v>3.69</v>
      </c>
      <c r="H59" s="55">
        <f t="shared" si="5"/>
        <v>101.14278843378494</v>
      </c>
      <c r="I59" s="15">
        <f t="shared" si="6"/>
        <v>0.22609997512767835</v>
      </c>
      <c r="J59" s="104"/>
    </row>
    <row r="60" spans="1:13" ht="15.75" hidden="1" thickBot="1" x14ac:dyDescent="0.25">
      <c r="A60" s="63">
        <f t="shared" si="8"/>
        <v>2009</v>
      </c>
      <c r="B60" s="64" t="s">
        <v>15</v>
      </c>
      <c r="C60" s="65">
        <v>115.6</v>
      </c>
      <c r="D60" s="65">
        <v>124.8</v>
      </c>
      <c r="E60" s="65">
        <v>119.6</v>
      </c>
      <c r="F60" s="65">
        <v>98.3</v>
      </c>
      <c r="G60" s="145">
        <v>3.46</v>
      </c>
      <c r="H60" s="66">
        <f t="shared" si="5"/>
        <v>100.47195565458402</v>
      </c>
      <c r="I60" s="44">
        <f t="shared" si="6"/>
        <v>-0.66325319836331675</v>
      </c>
      <c r="J60" s="105"/>
    </row>
    <row r="61" spans="1:13" ht="15.75" hidden="1" thickBot="1" x14ac:dyDescent="0.25">
      <c r="A61" s="70">
        <f t="shared" si="8"/>
        <v>2009</v>
      </c>
      <c r="B61" s="71" t="s">
        <v>16</v>
      </c>
      <c r="C61" s="68">
        <v>115.8</v>
      </c>
      <c r="D61" s="76">
        <v>131.69999999999999</v>
      </c>
      <c r="E61" s="68">
        <v>119.9</v>
      </c>
      <c r="F61" s="68">
        <v>97.5</v>
      </c>
      <c r="G61" s="146">
        <v>3.36</v>
      </c>
      <c r="H61" s="77">
        <f t="shared" si="5"/>
        <v>101.22472416038572</v>
      </c>
      <c r="I61" s="71">
        <f t="shared" si="6"/>
        <v>0.74923246083679873</v>
      </c>
      <c r="J61" s="103"/>
    </row>
    <row r="62" spans="1:13" ht="15.75" hidden="1" thickBot="1" x14ac:dyDescent="0.25">
      <c r="A62" s="32">
        <f t="shared" si="8"/>
        <v>2009</v>
      </c>
      <c r="B62" s="33" t="s">
        <v>17</v>
      </c>
      <c r="C62" s="34">
        <v>115.8</v>
      </c>
      <c r="D62" s="78">
        <v>128.1</v>
      </c>
      <c r="E62" s="34">
        <v>120.1</v>
      </c>
      <c r="F62" s="34">
        <v>97.4</v>
      </c>
      <c r="G62" s="144">
        <v>3.23</v>
      </c>
      <c r="H62" s="66">
        <f t="shared" si="5"/>
        <v>100.63721473803184</v>
      </c>
      <c r="I62" s="33">
        <f t="shared" si="6"/>
        <v>-0.58040110973579417</v>
      </c>
      <c r="J62" s="104"/>
    </row>
    <row r="63" spans="1:13" ht="16.5" hidden="1" thickBot="1" x14ac:dyDescent="0.3">
      <c r="A63" s="72">
        <f t="shared" si="8"/>
        <v>2009</v>
      </c>
      <c r="B63" s="73" t="s">
        <v>18</v>
      </c>
      <c r="C63" s="69">
        <v>115.8</v>
      </c>
      <c r="D63">
        <v>128.1</v>
      </c>
      <c r="E63" s="135">
        <v>120.1</v>
      </c>
      <c r="F63" s="69">
        <v>97</v>
      </c>
      <c r="G63" s="136">
        <v>3.69</v>
      </c>
      <c r="H63" s="137">
        <f t="shared" si="5"/>
        <v>101.17875591000654</v>
      </c>
      <c r="I63" s="47">
        <f t="shared" si="6"/>
        <v>0.53811224146493175</v>
      </c>
      <c r="J63" s="106"/>
    </row>
    <row r="64" spans="1:13" ht="16.5" hidden="1" thickBot="1" x14ac:dyDescent="0.3">
      <c r="A64" s="74">
        <v>2010</v>
      </c>
      <c r="B64" s="33" t="s">
        <v>8</v>
      </c>
      <c r="C64" s="78">
        <v>116.7</v>
      </c>
      <c r="D64" s="140">
        <v>131.69999999999999</v>
      </c>
      <c r="E64" s="140">
        <v>120.1</v>
      </c>
      <c r="F64" s="140">
        <v>96.9</v>
      </c>
      <c r="G64" s="81">
        <v>3.39</v>
      </c>
      <c r="H64" s="55">
        <f t="shared" si="5"/>
        <v>101.71793762201607</v>
      </c>
      <c r="I64" s="46"/>
      <c r="J64" s="106"/>
      <c r="M64" s="201"/>
    </row>
    <row r="65" spans="1:13" ht="16.5" hidden="1" thickBot="1" x14ac:dyDescent="0.3">
      <c r="A65" s="12">
        <f>A64</f>
        <v>2010</v>
      </c>
      <c r="B65" s="13" t="s">
        <v>9</v>
      </c>
      <c r="C65" s="14">
        <v>116.7</v>
      </c>
      <c r="D65" s="14">
        <v>129.5</v>
      </c>
      <c r="E65" s="14">
        <v>119.9</v>
      </c>
      <c r="F65" s="14">
        <v>96.8</v>
      </c>
      <c r="G65" s="141">
        <v>3.32</v>
      </c>
      <c r="H65" s="51">
        <f t="shared" si="5"/>
        <v>101.34486093673642</v>
      </c>
      <c r="I65" s="46"/>
      <c r="J65" s="106"/>
      <c r="M65" s="201"/>
    </row>
    <row r="66" spans="1:13" ht="16.5" hidden="1" thickBot="1" x14ac:dyDescent="0.3">
      <c r="A66" s="16">
        <f t="shared" ref="A66:A75" si="9">A65</f>
        <v>2010</v>
      </c>
      <c r="B66" s="17" t="s">
        <v>10</v>
      </c>
      <c r="C66" s="18">
        <v>116.7</v>
      </c>
      <c r="D66" s="18">
        <v>136.4</v>
      </c>
      <c r="E66" s="18">
        <v>120.2</v>
      </c>
      <c r="F66" s="18">
        <v>97.8</v>
      </c>
      <c r="G66" s="142">
        <v>3.13</v>
      </c>
      <c r="H66" s="52">
        <f t="shared" si="5"/>
        <v>102.04076296881883</v>
      </c>
      <c r="I66" s="46"/>
      <c r="J66" s="106"/>
      <c r="M66" s="201"/>
    </row>
    <row r="67" spans="1:13" ht="16.5" hidden="1" thickBot="1" x14ac:dyDescent="0.3">
      <c r="A67" s="21">
        <f t="shared" si="9"/>
        <v>2010</v>
      </c>
      <c r="B67" s="22" t="s">
        <v>11</v>
      </c>
      <c r="C67" s="23">
        <v>117.1</v>
      </c>
      <c r="D67" s="23">
        <v>134.30000000000001</v>
      </c>
      <c r="E67" s="23">
        <v>121.6</v>
      </c>
      <c r="F67" s="23">
        <v>98.1</v>
      </c>
      <c r="G67" s="143">
        <v>3</v>
      </c>
      <c r="H67" s="53">
        <f t="shared" si="5"/>
        <v>101.97301151351795</v>
      </c>
      <c r="I67" s="46"/>
      <c r="J67" s="106"/>
      <c r="M67" s="201"/>
    </row>
    <row r="68" spans="1:13" ht="16.5" hidden="1" thickBot="1" x14ac:dyDescent="0.3">
      <c r="A68" s="12">
        <f t="shared" si="9"/>
        <v>2010</v>
      </c>
      <c r="B68" s="13" t="s">
        <v>12</v>
      </c>
      <c r="C68" s="14">
        <v>117.1</v>
      </c>
      <c r="D68" s="14">
        <v>139.9</v>
      </c>
      <c r="E68" s="14">
        <v>122.3</v>
      </c>
      <c r="F68" s="14">
        <v>98.4</v>
      </c>
      <c r="G68" s="141">
        <v>2.9</v>
      </c>
      <c r="H68" s="51">
        <f t="shared" si="5"/>
        <v>102.59018325031738</v>
      </c>
      <c r="I68" s="46"/>
      <c r="J68" s="106"/>
      <c r="M68" s="201"/>
    </row>
    <row r="69" spans="1:13" ht="16.5" hidden="1" thickBot="1" x14ac:dyDescent="0.3">
      <c r="A69" s="16">
        <f t="shared" si="9"/>
        <v>2010</v>
      </c>
      <c r="B69" s="17" t="s">
        <v>13</v>
      </c>
      <c r="C69" s="18">
        <v>117.1</v>
      </c>
      <c r="D69" s="18">
        <v>144.6</v>
      </c>
      <c r="E69" s="18">
        <v>122.5</v>
      </c>
      <c r="F69" s="18">
        <v>98.9</v>
      </c>
      <c r="G69" s="142">
        <v>2.75</v>
      </c>
      <c r="H69" s="52">
        <f t="shared" si="5"/>
        <v>103.02122460369421</v>
      </c>
      <c r="I69" s="46"/>
      <c r="J69" s="106"/>
      <c r="M69" s="201"/>
    </row>
    <row r="70" spans="1:13" ht="16.5" hidden="1" thickBot="1" x14ac:dyDescent="0.3">
      <c r="A70" s="21">
        <f t="shared" si="9"/>
        <v>2010</v>
      </c>
      <c r="B70" s="26" t="s">
        <v>62</v>
      </c>
      <c r="C70" s="23">
        <v>118.4</v>
      </c>
      <c r="D70" s="23">
        <v>146.6</v>
      </c>
      <c r="E70" s="23">
        <v>122.5</v>
      </c>
      <c r="F70" s="23">
        <v>98.7</v>
      </c>
      <c r="G70" s="143">
        <v>2.42</v>
      </c>
      <c r="H70" s="53">
        <f t="shared" si="5"/>
        <v>103.54391995625241</v>
      </c>
      <c r="I70" s="46"/>
      <c r="J70" s="106"/>
      <c r="M70" s="201"/>
    </row>
    <row r="71" spans="1:13" ht="16.5" hidden="1" thickBot="1" x14ac:dyDescent="0.3">
      <c r="A71" s="32">
        <f t="shared" si="9"/>
        <v>2010</v>
      </c>
      <c r="B71" s="33" t="s">
        <v>14</v>
      </c>
      <c r="C71" s="34">
        <v>118.4</v>
      </c>
      <c r="D71" s="34">
        <v>145.80000000000001</v>
      </c>
      <c r="E71" s="34">
        <v>122.3</v>
      </c>
      <c r="F71" s="34">
        <v>100.4</v>
      </c>
      <c r="G71" s="144">
        <v>2.4900000000000002</v>
      </c>
      <c r="H71" s="55">
        <f t="shared" si="5"/>
        <v>103.68044887758985</v>
      </c>
      <c r="I71" s="46"/>
      <c r="J71" s="106"/>
      <c r="M71" s="201"/>
    </row>
    <row r="72" spans="1:13" ht="16.5" hidden="1" thickBot="1" x14ac:dyDescent="0.3">
      <c r="A72" s="63">
        <f t="shared" si="9"/>
        <v>2010</v>
      </c>
      <c r="B72" s="64" t="s">
        <v>15</v>
      </c>
      <c r="C72" s="65">
        <v>118.4</v>
      </c>
      <c r="D72" s="65">
        <v>143.5</v>
      </c>
      <c r="E72" s="65">
        <v>122.3</v>
      </c>
      <c r="F72" s="65">
        <v>100.4</v>
      </c>
      <c r="G72" s="145">
        <v>2.52</v>
      </c>
      <c r="H72" s="66">
        <f t="shared" si="5"/>
        <v>103.44437520283692</v>
      </c>
      <c r="I72" s="46"/>
      <c r="J72" s="106"/>
      <c r="M72" s="201"/>
    </row>
    <row r="73" spans="1:13" ht="16.5" hidden="1" thickBot="1" x14ac:dyDescent="0.3">
      <c r="A73" s="70">
        <f t="shared" si="9"/>
        <v>2010</v>
      </c>
      <c r="B73" s="71" t="s">
        <v>16</v>
      </c>
      <c r="C73" s="68">
        <v>118.5</v>
      </c>
      <c r="D73" s="76">
        <v>143.5</v>
      </c>
      <c r="E73" s="68">
        <v>122.7</v>
      </c>
      <c r="F73" s="68">
        <v>99.5</v>
      </c>
      <c r="G73" s="146">
        <v>2.31</v>
      </c>
      <c r="H73" s="77">
        <f t="shared" si="5"/>
        <v>103.17975935042105</v>
      </c>
      <c r="I73" s="46"/>
      <c r="J73" s="106"/>
      <c r="M73" s="201"/>
    </row>
    <row r="74" spans="1:13" ht="16.5" hidden="1" thickBot="1" x14ac:dyDescent="0.3">
      <c r="A74" s="32">
        <f t="shared" si="9"/>
        <v>2010</v>
      </c>
      <c r="B74" s="33" t="s">
        <v>17</v>
      </c>
      <c r="C74" s="34">
        <v>118.5</v>
      </c>
      <c r="D74" s="78">
        <v>147.4</v>
      </c>
      <c r="E74" s="34">
        <v>123.2</v>
      </c>
      <c r="F74" s="34">
        <v>99.4</v>
      </c>
      <c r="G74" s="144">
        <v>2.42</v>
      </c>
      <c r="H74" s="66">
        <f t="shared" si="5"/>
        <v>103.80777308415638</v>
      </c>
      <c r="I74" s="46"/>
      <c r="J74" s="106"/>
      <c r="M74" s="201"/>
    </row>
    <row r="75" spans="1:13" ht="16.5" hidden="1" thickBot="1" x14ac:dyDescent="0.3">
      <c r="A75" s="72">
        <f t="shared" si="9"/>
        <v>2010</v>
      </c>
      <c r="B75" s="73" t="s">
        <v>18</v>
      </c>
      <c r="C75" s="69">
        <v>118.5</v>
      </c>
      <c r="D75">
        <v>143.6</v>
      </c>
      <c r="E75" s="135">
        <v>123.1</v>
      </c>
      <c r="F75" s="69">
        <v>98.7</v>
      </c>
      <c r="G75" s="136">
        <v>2.85</v>
      </c>
      <c r="H75" s="137">
        <f t="shared" si="5"/>
        <v>103.82446466259715</v>
      </c>
      <c r="I75" s="46"/>
      <c r="J75" s="106"/>
      <c r="M75" s="201"/>
    </row>
    <row r="76" spans="1:13" ht="15.75" hidden="1" thickBot="1" x14ac:dyDescent="0.25">
      <c r="A76" s="74">
        <v>2011</v>
      </c>
      <c r="B76" s="33" t="s">
        <v>8</v>
      </c>
      <c r="C76" s="78">
        <v>119.4</v>
      </c>
      <c r="D76" s="140">
        <v>147.30000000000001</v>
      </c>
      <c r="E76" s="140">
        <v>123.2</v>
      </c>
      <c r="F76" s="140">
        <v>97.8</v>
      </c>
      <c r="G76" s="81">
        <v>2.77</v>
      </c>
      <c r="H76" s="55">
        <f t="shared" ref="H76:H87" si="10">100+((C76-$C$40)/$C$40*100*$C$2)+((D76-$D$40)/$D$40*100*$D$2)+((E76-$E$40)/$E$40*100*$E$2)+((F76-$F$40)/$F$40*100*$F$2)+((G76-$G$40)/$G$40*100*$G$2)</f>
        <v>104.58505674273317</v>
      </c>
      <c r="I76" s="59">
        <f>(H112-H63)/H63*100</f>
        <v>8.1678221201793431</v>
      </c>
      <c r="J76" s="105"/>
    </row>
    <row r="77" spans="1:13" ht="15.75" hidden="1" thickBot="1" x14ac:dyDescent="0.25">
      <c r="A77" s="32">
        <f>A76</f>
        <v>2011</v>
      </c>
      <c r="B77" s="33" t="s">
        <v>9</v>
      </c>
      <c r="C77" s="78">
        <v>119.4</v>
      </c>
      <c r="D77" s="78">
        <v>151.19999999999999</v>
      </c>
      <c r="E77" s="78">
        <v>123.3</v>
      </c>
      <c r="F77" s="78">
        <v>98.2</v>
      </c>
      <c r="G77" s="144">
        <v>2.68</v>
      </c>
      <c r="H77" s="55">
        <f t="shared" si="10"/>
        <v>104.98013649700204</v>
      </c>
      <c r="I77" s="59">
        <f t="shared" ref="I77:I87" si="11">(H113-H112)/H112*100</f>
        <v>0.21800821256603609</v>
      </c>
      <c r="J77" s="104"/>
    </row>
    <row r="78" spans="1:13" ht="16.5" hidden="1" thickBot="1" x14ac:dyDescent="0.3">
      <c r="A78" s="63">
        <f t="shared" ref="A78:A87" si="12">A77</f>
        <v>2011</v>
      </c>
      <c r="B78" s="64" t="s">
        <v>10</v>
      </c>
      <c r="C78" s="139">
        <v>119.4</v>
      </c>
      <c r="D78" s="139">
        <v>156.6</v>
      </c>
      <c r="E78" s="139">
        <v>123.4</v>
      </c>
      <c r="F78" s="139">
        <v>99</v>
      </c>
      <c r="G78" s="145">
        <v>2.91</v>
      </c>
      <c r="H78" s="149">
        <f t="shared" si="10"/>
        <v>105.99337858333936</v>
      </c>
      <c r="I78" s="60">
        <f t="shared" si="11"/>
        <v>-0.2394424983724058</v>
      </c>
      <c r="J78" s="106"/>
    </row>
    <row r="79" spans="1:13" ht="15.75" hidden="1" thickBot="1" x14ac:dyDescent="0.25">
      <c r="A79" s="70">
        <f t="shared" si="12"/>
        <v>2011</v>
      </c>
      <c r="B79" s="71" t="s">
        <v>11</v>
      </c>
      <c r="C79" s="76">
        <v>119.8</v>
      </c>
      <c r="D79" s="76">
        <v>160</v>
      </c>
      <c r="E79" s="76">
        <v>124.9</v>
      </c>
      <c r="F79" s="76">
        <v>98.5</v>
      </c>
      <c r="G79" s="146">
        <v>2.96</v>
      </c>
      <c r="H79" s="150">
        <f t="shared" si="10"/>
        <v>106.73958017361328</v>
      </c>
      <c r="I79" s="61">
        <f t="shared" si="11"/>
        <v>0.34699220300847483</v>
      </c>
      <c r="J79" s="33"/>
    </row>
    <row r="80" spans="1:13" ht="15.75" hidden="1" thickBot="1" x14ac:dyDescent="0.25">
      <c r="A80" s="32">
        <f t="shared" si="12"/>
        <v>2011</v>
      </c>
      <c r="B80" s="33" t="s">
        <v>12</v>
      </c>
      <c r="C80" s="78">
        <f>C79</f>
        <v>119.8</v>
      </c>
      <c r="D80" s="78">
        <v>163.69999999999999</v>
      </c>
      <c r="E80" s="78">
        <v>125.6</v>
      </c>
      <c r="F80" s="78">
        <v>98.5</v>
      </c>
      <c r="G80" s="144">
        <v>3.07</v>
      </c>
      <c r="H80" s="55">
        <f t="shared" si="10"/>
        <v>107.36690599244854</v>
      </c>
      <c r="I80" s="59">
        <f t="shared" si="11"/>
        <v>-0.15096625321726856</v>
      </c>
      <c r="J80" s="101"/>
    </row>
    <row r="81" spans="1:10" ht="15.75" hidden="1" thickBot="1" x14ac:dyDescent="0.25">
      <c r="A81" s="63">
        <f t="shared" si="12"/>
        <v>2011</v>
      </c>
      <c r="B81" s="64" t="s">
        <v>13</v>
      </c>
      <c r="C81" s="139">
        <f t="shared" ref="C81:C87" si="13">C79</f>
        <v>119.8</v>
      </c>
      <c r="D81" s="139">
        <v>169.4</v>
      </c>
      <c r="E81" s="139">
        <v>126.1</v>
      </c>
      <c r="F81" s="139">
        <v>97.8</v>
      </c>
      <c r="G81" s="145">
        <v>3</v>
      </c>
      <c r="H81" s="149">
        <f t="shared" si="10"/>
        <v>107.9271775757901</v>
      </c>
      <c r="I81" s="60">
        <f t="shared" si="11"/>
        <v>-0.13944128299499509</v>
      </c>
      <c r="J81" s="102"/>
    </row>
    <row r="82" spans="1:10" ht="15.75" hidden="1" thickBot="1" x14ac:dyDescent="0.25">
      <c r="A82" s="70">
        <f t="shared" si="12"/>
        <v>2011</v>
      </c>
      <c r="B82" s="75" t="s">
        <v>31</v>
      </c>
      <c r="C82" s="76">
        <v>120.4</v>
      </c>
      <c r="D82" s="76">
        <v>163.5</v>
      </c>
      <c r="E82" s="76">
        <v>126.3</v>
      </c>
      <c r="F82" s="76">
        <v>97</v>
      </c>
      <c r="G82" s="146">
        <v>2.85</v>
      </c>
      <c r="H82" s="150">
        <f t="shared" si="10"/>
        <v>107.30731154423297</v>
      </c>
      <c r="I82" s="61">
        <f t="shared" si="11"/>
        <v>-3.7741487679260721E-2</v>
      </c>
      <c r="J82" s="103"/>
    </row>
    <row r="83" spans="1:10" ht="15.75" hidden="1" thickBot="1" x14ac:dyDescent="0.25">
      <c r="A83" s="32">
        <f t="shared" si="12"/>
        <v>2011</v>
      </c>
      <c r="B83" s="33" t="s">
        <v>14</v>
      </c>
      <c r="C83" s="78">
        <f>C82</f>
        <v>120.4</v>
      </c>
      <c r="D83" s="78">
        <v>167.3</v>
      </c>
      <c r="E83" s="78">
        <v>126</v>
      </c>
      <c r="F83" s="78">
        <v>96.9</v>
      </c>
      <c r="G83" s="81">
        <v>2.89</v>
      </c>
      <c r="H83" s="55">
        <f t="shared" si="10"/>
        <v>107.77995894618688</v>
      </c>
      <c r="I83" s="59">
        <f t="shared" si="11"/>
        <v>0.19732922884738852</v>
      </c>
      <c r="J83" s="104"/>
    </row>
    <row r="84" spans="1:10" ht="15.75" hidden="1" thickBot="1" x14ac:dyDescent="0.25">
      <c r="A84" s="63">
        <f t="shared" si="12"/>
        <v>2011</v>
      </c>
      <c r="B84" s="64" t="s">
        <v>15</v>
      </c>
      <c r="C84" s="139">
        <f t="shared" si="13"/>
        <v>120.4</v>
      </c>
      <c r="D84" s="139">
        <v>169.1</v>
      </c>
      <c r="E84" s="139">
        <v>125.9</v>
      </c>
      <c r="F84" s="139">
        <v>96.6</v>
      </c>
      <c r="G84" s="145">
        <v>2.7</v>
      </c>
      <c r="H84" s="66">
        <f t="shared" si="10"/>
        <v>107.72051815768444</v>
      </c>
      <c r="I84" s="44">
        <f t="shared" si="11"/>
        <v>-0.17700392370488663</v>
      </c>
      <c r="J84" s="105"/>
    </row>
    <row r="85" spans="1:10" ht="15.75" hidden="1" thickBot="1" x14ac:dyDescent="0.25">
      <c r="A85" s="70">
        <f t="shared" si="12"/>
        <v>2011</v>
      </c>
      <c r="B85" s="71" t="s">
        <v>16</v>
      </c>
      <c r="C85" s="76">
        <v>120.8</v>
      </c>
      <c r="D85" s="76">
        <v>165.3</v>
      </c>
      <c r="E85" s="76">
        <v>125.9</v>
      </c>
      <c r="F85" s="76">
        <v>97.2</v>
      </c>
      <c r="G85" s="146">
        <v>2.39</v>
      </c>
      <c r="H85" s="77">
        <f t="shared" si="10"/>
        <v>107.15480734386321</v>
      </c>
      <c r="I85" s="45">
        <f t="shared" si="11"/>
        <v>0.19383304712299129</v>
      </c>
      <c r="J85" s="103"/>
    </row>
    <row r="86" spans="1:10" ht="15.75" hidden="1" thickBot="1" x14ac:dyDescent="0.25">
      <c r="A86" s="32">
        <f t="shared" si="12"/>
        <v>2011</v>
      </c>
      <c r="B86" s="33" t="s">
        <v>17</v>
      </c>
      <c r="C86" s="78">
        <f>C85</f>
        <v>120.8</v>
      </c>
      <c r="D86" s="78">
        <v>168.5</v>
      </c>
      <c r="E86" s="78">
        <v>126.3</v>
      </c>
      <c r="F86" s="78">
        <v>96.9</v>
      </c>
      <c r="G86" s="144">
        <v>2.19</v>
      </c>
      <c r="H86" s="66">
        <f t="shared" si="10"/>
        <v>107.28408664030727</v>
      </c>
      <c r="I86" s="46">
        <f t="shared" si="11"/>
        <v>-0.18896408970186979</v>
      </c>
      <c r="J86" s="104"/>
    </row>
    <row r="87" spans="1:10" ht="15.75" hidden="1" thickBot="1" x14ac:dyDescent="0.25">
      <c r="A87" s="72">
        <f t="shared" si="12"/>
        <v>2011</v>
      </c>
      <c r="B87" s="73" t="s">
        <v>18</v>
      </c>
      <c r="C87" s="135">
        <f t="shared" si="13"/>
        <v>120.8</v>
      </c>
      <c r="D87" s="135">
        <v>169.8</v>
      </c>
      <c r="E87" s="135">
        <v>126.5</v>
      </c>
      <c r="F87" s="135">
        <v>98.1</v>
      </c>
      <c r="G87" s="136">
        <v>2.54</v>
      </c>
      <c r="H87" s="137">
        <f t="shared" si="10"/>
        <v>108.00417847192873</v>
      </c>
      <c r="I87" s="47">
        <f t="shared" si="11"/>
        <v>-0.44736015762392245</v>
      </c>
      <c r="J87" s="104"/>
    </row>
    <row r="88" spans="1:10" ht="15.75" hidden="1" thickBot="1" x14ac:dyDescent="0.25">
      <c r="A88" s="74">
        <v>2012</v>
      </c>
      <c r="B88" s="33" t="s">
        <v>8</v>
      </c>
      <c r="C88" s="76">
        <v>121.3</v>
      </c>
      <c r="D88" s="140">
        <v>173.6</v>
      </c>
      <c r="E88" s="78">
        <v>126.4</v>
      </c>
      <c r="F88" s="78">
        <v>97.6</v>
      </c>
      <c r="G88" s="81">
        <v>2.23</v>
      </c>
      <c r="H88" s="164">
        <f t="shared" ref="H88:H99" si="14">100+((C88-$C$40)/$C$40*100*$C$2)+((D88-$D$40)/$D$40*100*$D$2)+((E88-$E$40)/$E$40*100*$E$2)+((F88-$F$40)/$F$40*100*$F$2)+((G88-$G$40)/$G$40*100*$G$2)</f>
        <v>108.28959502910448</v>
      </c>
      <c r="I88" s="59">
        <f>(H76-H123)/H123*100</f>
        <v>-4.0289552892457694</v>
      </c>
      <c r="J88" s="105"/>
    </row>
    <row r="89" spans="1:10" ht="15.75" hidden="1" thickBot="1" x14ac:dyDescent="0.25">
      <c r="A89" s="32">
        <f>A88</f>
        <v>2012</v>
      </c>
      <c r="B89" s="33" t="s">
        <v>9</v>
      </c>
      <c r="C89">
        <f>C88</f>
        <v>121.3</v>
      </c>
      <c r="D89" s="78">
        <v>169.6</v>
      </c>
      <c r="E89" s="78">
        <v>126.4</v>
      </c>
      <c r="F89" s="78">
        <v>98.3</v>
      </c>
      <c r="G89" s="144">
        <v>1.87</v>
      </c>
      <c r="H89" s="164">
        <f t="shared" si="14"/>
        <v>107.42545592963126</v>
      </c>
      <c r="I89" s="59">
        <f t="shared" ref="I89:I99" si="15">(H77-H76)/H76*100</f>
        <v>0.37775927706451662</v>
      </c>
      <c r="J89" s="104"/>
    </row>
    <row r="90" spans="1:10" ht="16.5" hidden="1" thickBot="1" x14ac:dyDescent="0.3">
      <c r="A90" s="63">
        <f t="shared" ref="A90:A99" si="16">A89</f>
        <v>2012</v>
      </c>
      <c r="B90" s="64" t="s">
        <v>10</v>
      </c>
      <c r="C90" s="17">
        <f>C88</f>
        <v>121.3</v>
      </c>
      <c r="D90" s="139">
        <v>174.9</v>
      </c>
      <c r="E90" s="139">
        <v>126.8</v>
      </c>
      <c r="F90" s="139">
        <v>99.2</v>
      </c>
      <c r="G90" s="145">
        <v>1.97</v>
      </c>
      <c r="H90" s="165">
        <f t="shared" si="14"/>
        <v>108.29331925732106</v>
      </c>
      <c r="I90" s="60">
        <f t="shared" si="15"/>
        <v>0.96517505134532178</v>
      </c>
      <c r="J90" s="106"/>
    </row>
    <row r="91" spans="1:10" ht="15.75" hidden="1" thickBot="1" x14ac:dyDescent="0.25">
      <c r="A91" s="70">
        <f t="shared" si="16"/>
        <v>2012</v>
      </c>
      <c r="B91" s="71" t="s">
        <v>11</v>
      </c>
      <c r="C91" s="78">
        <v>122.1</v>
      </c>
      <c r="D91" s="78">
        <v>177.5</v>
      </c>
      <c r="E91" s="78">
        <v>128.4</v>
      </c>
      <c r="F91" s="78">
        <v>99.9</v>
      </c>
      <c r="G91" s="146">
        <v>2</v>
      </c>
      <c r="H91" s="166">
        <f t="shared" si="14"/>
        <v>109.25827194239672</v>
      </c>
      <c r="I91" s="61">
        <f t="shared" si="15"/>
        <v>0.704007741094126</v>
      </c>
      <c r="J91" s="33"/>
    </row>
    <row r="92" spans="1:10" ht="15.75" hidden="1" thickBot="1" x14ac:dyDescent="0.25">
      <c r="A92" s="32">
        <f t="shared" si="16"/>
        <v>2012</v>
      </c>
      <c r="B92" s="33" t="s">
        <v>12</v>
      </c>
      <c r="C92" s="78">
        <f>C91</f>
        <v>122.1</v>
      </c>
      <c r="D92" s="78">
        <v>180.6</v>
      </c>
      <c r="E92" s="78">
        <v>129</v>
      </c>
      <c r="F92" s="78">
        <v>99.3</v>
      </c>
      <c r="G92" s="144">
        <v>1.94</v>
      </c>
      <c r="H92" s="164">
        <f t="shared" si="14"/>
        <v>109.53779353454972</v>
      </c>
      <c r="I92" s="59">
        <f t="shared" si="15"/>
        <v>0.58771621343732716</v>
      </c>
      <c r="J92" s="101"/>
    </row>
    <row r="93" spans="1:10" ht="15.75" hidden="1" thickBot="1" x14ac:dyDescent="0.25">
      <c r="A93" s="63">
        <f t="shared" si="16"/>
        <v>2012</v>
      </c>
      <c r="B93" s="64" t="s">
        <v>13</v>
      </c>
      <c r="C93" s="139">
        <f t="shared" ref="C93:C99" si="17">C91</f>
        <v>122.1</v>
      </c>
      <c r="D93" s="139">
        <v>178.2</v>
      </c>
      <c r="E93" s="139">
        <v>129</v>
      </c>
      <c r="F93" s="139">
        <v>99.8</v>
      </c>
      <c r="G93" s="145">
        <v>1.81</v>
      </c>
      <c r="H93" s="165">
        <f t="shared" si="14"/>
        <v>109.13490121154003</v>
      </c>
      <c r="I93" s="60">
        <f t="shared" si="15"/>
        <v>0.52182893617234893</v>
      </c>
      <c r="J93" s="102"/>
    </row>
    <row r="94" spans="1:10" ht="15.75" hidden="1" thickBot="1" x14ac:dyDescent="0.25">
      <c r="A94" s="70">
        <f t="shared" si="16"/>
        <v>2012</v>
      </c>
      <c r="B94" s="75" t="s">
        <v>31</v>
      </c>
      <c r="C94" s="157">
        <v>122.6</v>
      </c>
      <c r="D94" s="157">
        <v>173.7</v>
      </c>
      <c r="E94" s="157">
        <v>129</v>
      </c>
      <c r="F94" s="157">
        <v>99.6</v>
      </c>
      <c r="G94" s="158">
        <v>1.54</v>
      </c>
      <c r="H94" s="166">
        <f t="shared" si="14"/>
        <v>108.51726978812567</v>
      </c>
      <c r="I94" s="61">
        <f t="shared" si="15"/>
        <v>-0.57433729435000969</v>
      </c>
      <c r="J94" s="103"/>
    </row>
    <row r="95" spans="1:10" ht="15.75" hidden="1" thickBot="1" x14ac:dyDescent="0.25">
      <c r="A95" s="32">
        <f t="shared" si="16"/>
        <v>2012</v>
      </c>
      <c r="B95" s="33" t="s">
        <v>14</v>
      </c>
      <c r="C95" s="78">
        <f>C94</f>
        <v>122.6</v>
      </c>
      <c r="D95" s="157">
        <v>168.3</v>
      </c>
      <c r="E95" s="78">
        <v>128.80000000000001</v>
      </c>
      <c r="F95" s="78">
        <v>101</v>
      </c>
      <c r="G95" s="159">
        <v>1.64</v>
      </c>
      <c r="H95" s="164">
        <f t="shared" si="14"/>
        <v>108.11610912573073</v>
      </c>
      <c r="I95" s="59">
        <f t="shared" si="15"/>
        <v>0.44046150737741446</v>
      </c>
      <c r="J95" s="104"/>
    </row>
    <row r="96" spans="1:10" ht="15.75" hidden="1" thickBot="1" x14ac:dyDescent="0.25">
      <c r="A96" s="63">
        <f t="shared" si="16"/>
        <v>2012</v>
      </c>
      <c r="B96" s="64" t="s">
        <v>15</v>
      </c>
      <c r="C96" s="139">
        <f t="shared" si="17"/>
        <v>122.6</v>
      </c>
      <c r="D96" s="160">
        <v>175.4</v>
      </c>
      <c r="E96" s="139">
        <v>128.80000000000001</v>
      </c>
      <c r="F96" s="139">
        <v>101.1</v>
      </c>
      <c r="G96" s="161">
        <v>1.44</v>
      </c>
      <c r="H96" s="167">
        <f t="shared" si="14"/>
        <v>108.71904368898144</v>
      </c>
      <c r="I96" s="44">
        <f t="shared" si="15"/>
        <v>-5.5150130955348008E-2</v>
      </c>
      <c r="J96" s="105"/>
    </row>
    <row r="97" spans="1:10" ht="15.75" hidden="1" thickBot="1" x14ac:dyDescent="0.25">
      <c r="A97" s="70">
        <f t="shared" si="16"/>
        <v>2012</v>
      </c>
      <c r="B97" s="33" t="s">
        <v>16</v>
      </c>
      <c r="C97" s="78">
        <v>122.8</v>
      </c>
      <c r="D97" s="157">
        <v>180.3</v>
      </c>
      <c r="E97" s="78">
        <v>129.19999999999999</v>
      </c>
      <c r="F97" s="78">
        <v>101.8</v>
      </c>
      <c r="G97" s="159">
        <v>1.46</v>
      </c>
      <c r="H97" s="168">
        <f t="shared" si="14"/>
        <v>109.53061868569037</v>
      </c>
      <c r="I97" s="45">
        <f t="shared" si="15"/>
        <v>-0.52516532922086634</v>
      </c>
      <c r="J97" s="103"/>
    </row>
    <row r="98" spans="1:10" ht="15.75" hidden="1" thickBot="1" x14ac:dyDescent="0.25">
      <c r="A98" s="32">
        <f t="shared" si="16"/>
        <v>2012</v>
      </c>
      <c r="B98" s="33" t="s">
        <v>17</v>
      </c>
      <c r="C98" s="78">
        <f>C97</f>
        <v>122.8</v>
      </c>
      <c r="D98" s="157">
        <v>180.5</v>
      </c>
      <c r="E98" s="157">
        <v>129.5</v>
      </c>
      <c r="F98" s="157">
        <v>101.4</v>
      </c>
      <c r="G98" s="159">
        <v>1.54</v>
      </c>
      <c r="H98" s="167">
        <f t="shared" si="14"/>
        <v>109.63876118087016</v>
      </c>
      <c r="I98" s="46">
        <f t="shared" si="15"/>
        <v>0.12064722026814184</v>
      </c>
      <c r="J98" s="33"/>
    </row>
    <row r="99" spans="1:10" ht="15" hidden="1" customHeight="1" thickBot="1" x14ac:dyDescent="0.25">
      <c r="A99" s="72">
        <f t="shared" si="16"/>
        <v>2012</v>
      </c>
      <c r="B99" s="73" t="s">
        <v>18</v>
      </c>
      <c r="C99" s="135">
        <f t="shared" si="17"/>
        <v>122.8</v>
      </c>
      <c r="D99" s="162">
        <f>D98</f>
        <v>180.5</v>
      </c>
      <c r="E99" s="135">
        <v>129.4</v>
      </c>
      <c r="F99" s="135">
        <v>100.5</v>
      </c>
      <c r="G99" s="163">
        <v>1.67</v>
      </c>
      <c r="H99" s="169">
        <f t="shared" si="14"/>
        <v>109.71193763101257</v>
      </c>
      <c r="I99" s="47">
        <f t="shared" si="15"/>
        <v>0.67120097133857404</v>
      </c>
      <c r="J99" s="67"/>
    </row>
    <row r="100" spans="1:10" ht="15.75" hidden="1" thickBot="1" x14ac:dyDescent="0.25">
      <c r="A100" s="74">
        <v>2013</v>
      </c>
      <c r="B100" s="33" t="s">
        <v>8</v>
      </c>
      <c r="C100" s="174">
        <f>123.1*1.0101</f>
        <v>124.34330999999999</v>
      </c>
      <c r="D100" s="157">
        <v>174.9</v>
      </c>
      <c r="E100" s="157">
        <v>129.30000000000001</v>
      </c>
      <c r="F100" s="157">
        <v>100.2</v>
      </c>
      <c r="G100" s="159">
        <v>1.47</v>
      </c>
      <c r="H100" s="175">
        <f t="shared" ref="H100:H112" si="18">100+((C100-$C$40)/$C$40*100*$C$2)+((D100-$D$40)/$D$40*100*$D$2)+((E100-$E$40)/$E$40*100*$E$2)+((F100-$F$40)/$F$40*100*$F$2)+((G100-$G$40)/$G$40*100*$G$2)</f>
        <v>109.61162330376909</v>
      </c>
      <c r="J100" s="177" t="s">
        <v>41</v>
      </c>
    </row>
    <row r="101" spans="1:10" ht="15.75" hidden="1" thickBot="1" x14ac:dyDescent="0.25">
      <c r="A101" s="32">
        <f>A100</f>
        <v>2013</v>
      </c>
      <c r="B101" s="33" t="s">
        <v>9</v>
      </c>
      <c r="C101" s="174">
        <f>123.1*1.0101</f>
        <v>124.34330999999999</v>
      </c>
      <c r="D101" s="157">
        <v>170.5</v>
      </c>
      <c r="E101" s="157">
        <v>128.9</v>
      </c>
      <c r="F101" s="157">
        <v>100.7</v>
      </c>
      <c r="G101" s="159">
        <v>1.44</v>
      </c>
      <c r="H101" s="175">
        <f t="shared" si="18"/>
        <v>109.06871627848055</v>
      </c>
      <c r="J101" s="177" t="s">
        <v>42</v>
      </c>
    </row>
    <row r="102" spans="1:10" ht="15.75" hidden="1" thickBot="1" x14ac:dyDescent="0.25">
      <c r="A102" s="63">
        <f t="shared" ref="A102:A111" si="19">A101</f>
        <v>2013</v>
      </c>
      <c r="B102" s="64" t="s">
        <v>10</v>
      </c>
      <c r="C102" s="160">
        <f>123.1*1.0101</f>
        <v>124.34330999999999</v>
      </c>
      <c r="D102" s="160">
        <v>171.1</v>
      </c>
      <c r="E102" s="139">
        <v>128.4</v>
      </c>
      <c r="F102" s="160">
        <v>99.5</v>
      </c>
      <c r="G102" s="161">
        <v>1.69</v>
      </c>
      <c r="H102" s="165">
        <f t="shared" si="18"/>
        <v>109.30875268340239</v>
      </c>
    </row>
    <row r="103" spans="1:10" ht="15.75" hidden="1" thickBot="1" x14ac:dyDescent="0.25">
      <c r="A103" s="70">
        <f t="shared" si="19"/>
        <v>2013</v>
      </c>
      <c r="B103" s="71" t="s">
        <v>11</v>
      </c>
      <c r="C103" s="157">
        <f>123.7 * 1.0101</f>
        <v>124.94937</v>
      </c>
      <c r="D103" s="157">
        <v>174.5</v>
      </c>
      <c r="E103" s="157">
        <v>129.9</v>
      </c>
      <c r="F103" s="157">
        <f>F102*(1+(((SUM(F$88:F$99)-SUM(F$76:F$87))/SUM(F$76:F$87))/12))</f>
        <v>99.690938166311312</v>
      </c>
      <c r="G103" s="159">
        <v>1.54</v>
      </c>
      <c r="H103" s="150">
        <f t="shared" si="18"/>
        <v>109.98126889310322</v>
      </c>
    </row>
    <row r="104" spans="1:10" ht="15.75" hidden="1" thickBot="1" x14ac:dyDescent="0.25">
      <c r="A104" s="32">
        <f t="shared" si="19"/>
        <v>2013</v>
      </c>
      <c r="B104" s="33" t="s">
        <v>12</v>
      </c>
      <c r="C104" s="157">
        <f>123.7 * 1.0101</f>
        <v>124.94937</v>
      </c>
      <c r="D104" s="157">
        <v>171.1</v>
      </c>
      <c r="E104" s="157">
        <f>E103*(1+(((SUM(E$88:E$99)-SUM(E$76:E$87))/SUM(E$76:E$87))/12))</f>
        <v>130.16857290142343</v>
      </c>
      <c r="F104" s="157">
        <v>99.6</v>
      </c>
      <c r="G104" s="159">
        <v>1.45</v>
      </c>
      <c r="H104" s="55">
        <f t="shared" si="18"/>
        <v>109.4734730209545</v>
      </c>
    </row>
    <row r="105" spans="1:10" ht="15.75" hidden="1" thickBot="1" x14ac:dyDescent="0.25">
      <c r="A105" s="63">
        <f t="shared" si="19"/>
        <v>2013</v>
      </c>
      <c r="B105" s="64" t="s">
        <v>13</v>
      </c>
      <c r="C105" s="160">
        <f>123.7 * 1.0101</f>
        <v>124.94937</v>
      </c>
      <c r="D105" s="160">
        <v>164.4</v>
      </c>
      <c r="E105" s="160">
        <v>130</v>
      </c>
      <c r="F105" s="160">
        <v>100.5</v>
      </c>
      <c r="G105" s="161">
        <v>1.33</v>
      </c>
      <c r="H105" s="149">
        <f t="shared" si="18"/>
        <v>108.59665368749857</v>
      </c>
    </row>
    <row r="106" spans="1:10" ht="15.75" hidden="1" thickBot="1" x14ac:dyDescent="0.25">
      <c r="A106" s="70">
        <f t="shared" si="19"/>
        <v>2013</v>
      </c>
      <c r="B106" s="75" t="s">
        <v>31</v>
      </c>
      <c r="C106" s="157">
        <f>124.1 * 1.0101</f>
        <v>125.35341</v>
      </c>
      <c r="D106" s="157">
        <v>165.7</v>
      </c>
      <c r="E106" s="157">
        <v>130.1</v>
      </c>
      <c r="F106" s="157">
        <v>100.1</v>
      </c>
      <c r="G106" s="159">
        <v>1.38</v>
      </c>
      <c r="H106" s="150">
        <f t="shared" si="18"/>
        <v>109.00738642005831</v>
      </c>
    </row>
    <row r="107" spans="1:10" ht="15.75" hidden="1" thickBot="1" x14ac:dyDescent="0.25">
      <c r="A107" s="32">
        <f t="shared" si="19"/>
        <v>2013</v>
      </c>
      <c r="B107" s="33" t="s">
        <v>14</v>
      </c>
      <c r="C107" s="157">
        <f>124.1 * 1.0101</f>
        <v>125.35341</v>
      </c>
      <c r="D107" s="157">
        <v>165.3</v>
      </c>
      <c r="E107" s="157">
        <v>130</v>
      </c>
      <c r="F107" s="157">
        <v>100.2</v>
      </c>
      <c r="G107" s="159">
        <v>1.56</v>
      </c>
      <c r="H107" s="55">
        <f t="shared" si="18"/>
        <v>109.18852485490916</v>
      </c>
    </row>
    <row r="108" spans="1:10" ht="15.75" hidden="1" thickBot="1" x14ac:dyDescent="0.25">
      <c r="A108" s="63">
        <f t="shared" si="19"/>
        <v>2013</v>
      </c>
      <c r="B108" s="64" t="s">
        <v>15</v>
      </c>
      <c r="C108" s="160">
        <f>124.1 * 1.0101</f>
        <v>125.35341</v>
      </c>
      <c r="D108" s="160">
        <v>169.4</v>
      </c>
      <c r="E108" s="160">
        <v>129.6</v>
      </c>
      <c r="F108" s="160">
        <v>99.6</v>
      </c>
      <c r="G108" s="161">
        <v>1.57</v>
      </c>
      <c r="H108" s="181">
        <f t="shared" si="18"/>
        <v>109.60588031131111</v>
      </c>
    </row>
    <row r="109" spans="1:10" ht="15.75" hidden="1" thickBot="1" x14ac:dyDescent="0.25">
      <c r="A109" s="70">
        <f t="shared" si="19"/>
        <v>2013</v>
      </c>
      <c r="B109" s="33" t="s">
        <v>16</v>
      </c>
      <c r="C109" s="157">
        <f>124.4*1.0101</f>
        <v>125.65644</v>
      </c>
      <c r="D109" s="157">
        <v>168.6</v>
      </c>
      <c r="E109" s="157">
        <v>129.69999999999999</v>
      </c>
      <c r="F109" s="157">
        <v>99.6</v>
      </c>
      <c r="G109" s="159">
        <v>1.7</v>
      </c>
      <c r="H109" s="66">
        <f t="shared" si="18"/>
        <v>109.84851052508078</v>
      </c>
    </row>
    <row r="110" spans="1:10" ht="15.75" hidden="1" thickBot="1" x14ac:dyDescent="0.25">
      <c r="A110" s="32">
        <f t="shared" si="19"/>
        <v>2013</v>
      </c>
      <c r="B110" s="33" t="s">
        <v>17</v>
      </c>
      <c r="C110" s="157">
        <f>C109</f>
        <v>125.65644</v>
      </c>
      <c r="D110" s="157">
        <v>173.5</v>
      </c>
      <c r="E110" s="157">
        <v>130.1</v>
      </c>
      <c r="F110" s="157">
        <v>99.3</v>
      </c>
      <c r="G110" s="159">
        <v>1.63</v>
      </c>
      <c r="H110" s="66">
        <f t="shared" si="18"/>
        <v>110.34369278648441</v>
      </c>
    </row>
    <row r="111" spans="1:10" ht="15.75" hidden="1" thickBot="1" x14ac:dyDescent="0.25">
      <c r="A111" s="72">
        <f t="shared" si="19"/>
        <v>2013</v>
      </c>
      <c r="B111" s="73" t="s">
        <v>18</v>
      </c>
      <c r="C111" s="162">
        <f>C109</f>
        <v>125.65644</v>
      </c>
      <c r="D111" s="162">
        <v>169.1</v>
      </c>
      <c r="E111" s="162">
        <v>130.30000000000001</v>
      </c>
      <c r="F111" s="162">
        <v>99.3</v>
      </c>
      <c r="G111" s="163">
        <v>1.69</v>
      </c>
      <c r="H111" s="137">
        <f t="shared" si="18"/>
        <v>109.90920777464092</v>
      </c>
      <c r="I111" s="13"/>
    </row>
    <row r="112" spans="1:10" ht="13.5" hidden="1" customHeight="1" x14ac:dyDescent="0.2">
      <c r="A112" s="74">
        <v>2014</v>
      </c>
      <c r="B112" s="88" t="s">
        <v>8</v>
      </c>
      <c r="C112" s="157">
        <f>124.6*1.0101</f>
        <v>125.85845999999999</v>
      </c>
      <c r="D112" s="157">
        <v>167</v>
      </c>
      <c r="E112" s="157">
        <v>130</v>
      </c>
      <c r="F112" s="157">
        <v>98.7</v>
      </c>
      <c r="G112" s="159">
        <v>1.49</v>
      </c>
      <c r="H112" s="66">
        <f t="shared" si="18"/>
        <v>109.44285671614632</v>
      </c>
    </row>
    <row r="113" spans="1:10" ht="15.75" hidden="1" thickBot="1" x14ac:dyDescent="0.25">
      <c r="A113" s="32">
        <f>A112</f>
        <v>2014</v>
      </c>
      <c r="B113" s="33" t="s">
        <v>9</v>
      </c>
      <c r="C113" s="157">
        <f>C112</f>
        <v>125.85845999999999</v>
      </c>
      <c r="D113" s="157">
        <v>167.8</v>
      </c>
      <c r="E113" s="157">
        <v>129.9</v>
      </c>
      <c r="F113" s="157">
        <v>99.1</v>
      </c>
      <c r="G113" s="159">
        <v>1.58</v>
      </c>
      <c r="H113" s="66">
        <f t="shared" ref="H113:H123" si="20">100+((C113-$C$40)/$C$40*100*$C$2)+((D113-$D$40)/$D$40*100*$D$2)+((E113-$E$40)/$E$40*100*$E$2)+((F113-$F$40)/$F$40*100*$F$2)+((G113-$G$40)/$G$40*100*$G$2)</f>
        <v>109.6814511318544</v>
      </c>
    </row>
    <row r="114" spans="1:10" ht="15.75" hidden="1" thickBot="1" x14ac:dyDescent="0.25">
      <c r="A114" s="63">
        <f t="shared" ref="A114:A123" si="21">A113</f>
        <v>2014</v>
      </c>
      <c r="B114" s="64" t="s">
        <v>10</v>
      </c>
      <c r="C114" s="160">
        <f>C112</f>
        <v>125.85845999999999</v>
      </c>
      <c r="D114" s="160">
        <v>166.5</v>
      </c>
      <c r="E114" s="160">
        <v>129.69999999999999</v>
      </c>
      <c r="F114" s="182">
        <v>98.9</v>
      </c>
      <c r="G114" s="161">
        <v>1.52</v>
      </c>
      <c r="H114" s="181">
        <f t="shared" si="20"/>
        <v>109.41882712501318</v>
      </c>
      <c r="J114" s="177" t="s">
        <v>45</v>
      </c>
    </row>
    <row r="115" spans="1:10" ht="15.75" hidden="1" thickBot="1" x14ac:dyDescent="0.25">
      <c r="A115" s="70">
        <f t="shared" si="21"/>
        <v>2014</v>
      </c>
      <c r="B115" s="71" t="s">
        <v>11</v>
      </c>
      <c r="C115" s="157">
        <f>125.1*1.0101</f>
        <v>126.36350999999999</v>
      </c>
      <c r="D115" s="157">
        <v>167.3</v>
      </c>
      <c r="E115" s="157">
        <v>130.6</v>
      </c>
      <c r="F115" s="174">
        <v>99.1</v>
      </c>
      <c r="G115" s="159">
        <v>1.46</v>
      </c>
      <c r="H115" s="66">
        <f t="shared" si="20"/>
        <v>109.7985019237603</v>
      </c>
    </row>
    <row r="116" spans="1:10" ht="15.75" hidden="1" thickBot="1" x14ac:dyDescent="0.25">
      <c r="A116" s="32">
        <f t="shared" si="21"/>
        <v>2014</v>
      </c>
      <c r="B116" s="33" t="s">
        <v>12</v>
      </c>
      <c r="C116" s="157">
        <f>C115</f>
        <v>126.36350999999999</v>
      </c>
      <c r="D116" s="157">
        <v>166.4</v>
      </c>
      <c r="E116" s="157">
        <v>130.69999999999999</v>
      </c>
      <c r="F116" s="174">
        <v>98.8</v>
      </c>
      <c r="G116" s="159">
        <v>1.43</v>
      </c>
      <c r="H116" s="66">
        <f t="shared" si="20"/>
        <v>109.63274323931731</v>
      </c>
    </row>
    <row r="117" spans="1:10" ht="15.75" hidden="1" thickBot="1" x14ac:dyDescent="0.25">
      <c r="A117" s="63">
        <f t="shared" si="21"/>
        <v>2014</v>
      </c>
      <c r="B117" s="64" t="s">
        <v>13</v>
      </c>
      <c r="C117" s="160">
        <f>C115</f>
        <v>126.36350999999999</v>
      </c>
      <c r="D117" s="160">
        <v>165.5</v>
      </c>
      <c r="E117" s="160">
        <v>130.9</v>
      </c>
      <c r="F117" s="194">
        <v>98.7</v>
      </c>
      <c r="G117" s="161">
        <v>1.39</v>
      </c>
      <c r="H117" s="149">
        <f t="shared" si="20"/>
        <v>109.47986993556179</v>
      </c>
    </row>
    <row r="118" spans="1:10" ht="15.75" hidden="1" thickBot="1" x14ac:dyDescent="0.25">
      <c r="A118" s="70">
        <f t="shared" si="21"/>
        <v>2014</v>
      </c>
      <c r="B118" s="75" t="s">
        <v>31</v>
      </c>
      <c r="C118" s="157">
        <f>125.4*1.0101</f>
        <v>126.66654000000001</v>
      </c>
      <c r="D118" s="157">
        <v>164.6</v>
      </c>
      <c r="E118" s="157">
        <v>130.80000000000001</v>
      </c>
      <c r="F118" s="174">
        <v>98.9</v>
      </c>
      <c r="G118" s="159">
        <v>1.3</v>
      </c>
      <c r="H118" s="150">
        <f t="shared" si="20"/>
        <v>109.43855060393879</v>
      </c>
    </row>
    <row r="119" spans="1:10" ht="15.75" hidden="1" thickBot="1" x14ac:dyDescent="0.25">
      <c r="A119" s="32">
        <f t="shared" si="21"/>
        <v>2014</v>
      </c>
      <c r="B119" s="33" t="s">
        <v>14</v>
      </c>
      <c r="C119" s="157">
        <f>C118</f>
        <v>126.66654000000001</v>
      </c>
      <c r="D119" s="157">
        <v>166.5</v>
      </c>
      <c r="E119" s="157">
        <v>130.69999999999999</v>
      </c>
      <c r="F119" s="174">
        <v>99</v>
      </c>
      <c r="G119" s="159">
        <v>1.29</v>
      </c>
      <c r="H119" s="66">
        <f t="shared" si="20"/>
        <v>109.6545048519073</v>
      </c>
    </row>
    <row r="120" spans="1:10" ht="15.75" hidden="1" thickBot="1" x14ac:dyDescent="0.25">
      <c r="A120" s="63">
        <f t="shared" si="21"/>
        <v>2014</v>
      </c>
      <c r="B120" s="64" t="s">
        <v>15</v>
      </c>
      <c r="C120" s="160">
        <f>C118</f>
        <v>126.66654000000001</v>
      </c>
      <c r="D120" s="160">
        <v>164.9</v>
      </c>
      <c r="E120" s="160">
        <v>130.6</v>
      </c>
      <c r="F120" s="182">
        <v>98.9</v>
      </c>
      <c r="G120" s="161">
        <v>1.3</v>
      </c>
      <c r="H120" s="181">
        <f t="shared" si="20"/>
        <v>109.46041207580026</v>
      </c>
    </row>
    <row r="121" spans="1:10" ht="15.75" hidden="1" thickBot="1" x14ac:dyDescent="0.25">
      <c r="A121" s="70">
        <f t="shared" si="21"/>
        <v>2014</v>
      </c>
      <c r="B121" s="33" t="s">
        <v>16</v>
      </c>
      <c r="C121" s="157">
        <f>125.9*1.0101</f>
        <v>127.17159000000001</v>
      </c>
      <c r="D121" s="157">
        <v>165.3</v>
      </c>
      <c r="E121" s="157">
        <v>130.4</v>
      </c>
      <c r="F121" s="174">
        <v>98.9</v>
      </c>
      <c r="G121" s="159">
        <v>1.22</v>
      </c>
      <c r="H121" s="150">
        <f t="shared" si="20"/>
        <v>109.67258252792017</v>
      </c>
    </row>
    <row r="122" spans="1:10" ht="15.75" hidden="1" thickBot="1" x14ac:dyDescent="0.25">
      <c r="A122" s="32">
        <f t="shared" si="21"/>
        <v>2014</v>
      </c>
      <c r="B122" s="33" t="s">
        <v>17</v>
      </c>
      <c r="C122" s="157">
        <f>C121</f>
        <v>127.17159000000001</v>
      </c>
      <c r="D122" s="157">
        <v>163.6</v>
      </c>
      <c r="E122" s="157">
        <v>130.80000000000001</v>
      </c>
      <c r="F122" s="198">
        <f>+F$121*(103.5/103.3)</f>
        <v>99.091481122942895</v>
      </c>
      <c r="G122" s="159">
        <v>1.18</v>
      </c>
      <c r="H122" s="66">
        <f t="shared" si="20"/>
        <v>109.46534073069375</v>
      </c>
      <c r="J122" s="197" t="s">
        <v>67</v>
      </c>
    </row>
    <row r="123" spans="1:10" ht="15.75" hidden="1" thickBot="1" x14ac:dyDescent="0.25">
      <c r="A123" s="72">
        <f t="shared" si="21"/>
        <v>2014</v>
      </c>
      <c r="B123" s="73" t="s">
        <v>18</v>
      </c>
      <c r="C123" s="162">
        <f>C121</f>
        <v>127.17159000000001</v>
      </c>
      <c r="D123" s="162">
        <v>158.9</v>
      </c>
      <c r="E123" s="162">
        <v>130.9</v>
      </c>
      <c r="F123" s="199">
        <f>+F$121*(103.5/103.3)</f>
        <v>99.091481122942895</v>
      </c>
      <c r="G123" s="163">
        <v>1.23</v>
      </c>
      <c r="H123" s="137">
        <f t="shared" si="20"/>
        <v>108.97563640985736</v>
      </c>
      <c r="I123" s="13"/>
    </row>
    <row r="124" spans="1:10" ht="15.75" hidden="1" thickBot="1" x14ac:dyDescent="0.25">
      <c r="A124" s="74">
        <v>2015</v>
      </c>
      <c r="B124" s="187" t="s">
        <v>8</v>
      </c>
      <c r="C124" s="157">
        <v>127.7</v>
      </c>
      <c r="D124" s="157">
        <v>158.30000000000001</v>
      </c>
      <c r="E124" s="157">
        <v>130.6</v>
      </c>
      <c r="F124" s="198">
        <f>+F$121*(103.4/103.3)</f>
        <v>98.995740561471465</v>
      </c>
      <c r="G124" s="159">
        <v>1.17</v>
      </c>
      <c r="H124" s="66">
        <f t="shared" ref="H124:H147" si="22">100+((C124-$C$40)/$C$40*100*$C$2)+((D124-$D$40)/$D$40*100*$D$2)+((E124-$E$40)/$E$40*100*$E$2)+((F124-$F$40)/$F$40*100*$F$2)+((G124-$G$40)/$G$40*100*$G$2)</f>
        <v>109.09102214962684</v>
      </c>
      <c r="I124" s="13"/>
    </row>
    <row r="125" spans="1:10" ht="15.75" hidden="1" thickBot="1" x14ac:dyDescent="0.25">
      <c r="A125" s="32">
        <f>A124</f>
        <v>2015</v>
      </c>
      <c r="B125" s="33" t="s">
        <v>9</v>
      </c>
      <c r="C125" s="157">
        <f>C124</f>
        <v>127.7</v>
      </c>
      <c r="D125" s="157">
        <v>146.4</v>
      </c>
      <c r="E125" s="157">
        <v>130.30000000000001</v>
      </c>
      <c r="F125" s="198">
        <f>+F$121*(103.8/103.3)</f>
        <v>99.378702807357229</v>
      </c>
      <c r="G125" s="159">
        <v>1.1000000000000001</v>
      </c>
      <c r="H125" s="66">
        <f t="shared" si="22"/>
        <v>107.60102193343101</v>
      </c>
    </row>
    <row r="126" spans="1:10" ht="15.75" hidden="1" thickBot="1" x14ac:dyDescent="0.25">
      <c r="A126" s="63">
        <f t="shared" ref="A126:A135" si="23">A125</f>
        <v>2015</v>
      </c>
      <c r="B126" s="64" t="s">
        <v>10</v>
      </c>
      <c r="C126" s="160">
        <f>C124</f>
        <v>127.7</v>
      </c>
      <c r="D126" s="160">
        <v>139.80000000000001</v>
      </c>
      <c r="E126" s="160">
        <v>129.6</v>
      </c>
      <c r="F126" s="200">
        <v>99.8</v>
      </c>
      <c r="G126" s="161">
        <v>0.87</v>
      </c>
      <c r="H126" s="181">
        <f t="shared" si="22"/>
        <v>106.51656379649668</v>
      </c>
    </row>
    <row r="127" spans="1:10" ht="15.75" hidden="1" thickBot="1" x14ac:dyDescent="0.25">
      <c r="A127" s="70">
        <f t="shared" si="23"/>
        <v>2015</v>
      </c>
      <c r="B127" s="187" t="s">
        <v>11</v>
      </c>
      <c r="C127" s="157">
        <f>126.9*1.0101</f>
        <v>128.18169</v>
      </c>
      <c r="D127" s="157">
        <v>148.1</v>
      </c>
      <c r="E127" s="157">
        <v>130.9</v>
      </c>
      <c r="F127" s="198">
        <v>100</v>
      </c>
      <c r="G127" s="159">
        <v>0.82</v>
      </c>
      <c r="H127" s="66">
        <f t="shared" si="22"/>
        <v>107.81647390481069</v>
      </c>
      <c r="I127" s="13"/>
    </row>
    <row r="128" spans="1:10" ht="15.75" hidden="1" thickBot="1" x14ac:dyDescent="0.25">
      <c r="A128" s="32">
        <f t="shared" si="23"/>
        <v>2015</v>
      </c>
      <c r="B128" s="33" t="s">
        <v>12</v>
      </c>
      <c r="C128" s="157">
        <f>126.9*1.0101</f>
        <v>128.18169</v>
      </c>
      <c r="D128" s="157">
        <v>149.1</v>
      </c>
      <c r="E128" s="157">
        <v>131.5</v>
      </c>
      <c r="F128" s="198">
        <v>100.3</v>
      </c>
      <c r="G128" s="159">
        <v>0.84</v>
      </c>
      <c r="H128" s="66">
        <f t="shared" si="22"/>
        <v>108.0300435832911</v>
      </c>
      <c r="I128" s="13"/>
    </row>
    <row r="129" spans="1:10" ht="15.75" hidden="1" thickBot="1" x14ac:dyDescent="0.25">
      <c r="A129" s="72">
        <f t="shared" si="23"/>
        <v>2015</v>
      </c>
      <c r="B129" s="73" t="s">
        <v>13</v>
      </c>
      <c r="C129" s="162">
        <f>126.9*1.0101</f>
        <v>128.18169</v>
      </c>
      <c r="D129" s="162">
        <v>150.1</v>
      </c>
      <c r="E129" s="162">
        <f>E128*(1+(((SUM(E$112:E$123)-SUM(E$100:E$111))/SUM(E$100:E$111))/12))</f>
        <v>131.56710611258526</v>
      </c>
      <c r="F129" s="199">
        <f>+F$121*(106/103.3)</f>
        <v>101.48499515972897</v>
      </c>
      <c r="G129" s="163">
        <v>0.76</v>
      </c>
      <c r="H129" s="137">
        <f t="shared" si="22"/>
        <v>108.16294508673766</v>
      </c>
      <c r="I129" s="13"/>
    </row>
    <row r="130" spans="1:10" ht="15.75" hidden="1" thickBot="1" x14ac:dyDescent="0.25">
      <c r="A130" s="32">
        <f t="shared" si="23"/>
        <v>2015</v>
      </c>
      <c r="B130" s="33" t="s">
        <v>31</v>
      </c>
      <c r="C130" s="157">
        <f>127.2*1.0101</f>
        <v>128.48472000000001</v>
      </c>
      <c r="D130" s="157">
        <v>151.5</v>
      </c>
      <c r="E130" s="157">
        <f>E129*(1+(((SUM(E$112:E$123)-SUM(E$100:E$111))/SUM(E$100:E$111))/12))</f>
        <v>131.63424647026821</v>
      </c>
      <c r="F130" s="198">
        <f>+F$121*(106/103.3)</f>
        <v>101.48499515972897</v>
      </c>
      <c r="G130" s="159">
        <v>0.99</v>
      </c>
      <c r="H130" s="66">
        <f t="shared" si="22"/>
        <v>108.79099023339268</v>
      </c>
    </row>
    <row r="131" spans="1:10" ht="15.75" hidden="1" thickBot="1" x14ac:dyDescent="0.25">
      <c r="A131" s="32">
        <f t="shared" si="23"/>
        <v>2015</v>
      </c>
      <c r="B131" s="33" t="s">
        <v>14</v>
      </c>
      <c r="C131" s="157">
        <f>127.2*1.0101</f>
        <v>128.48472000000001</v>
      </c>
      <c r="D131" s="157">
        <v>150.30000000000001</v>
      </c>
      <c r="E131" s="157">
        <v>131.6</v>
      </c>
      <c r="F131" s="198">
        <f>+F$121*(106.2/103.3)</f>
        <v>101.67647628267183</v>
      </c>
      <c r="G131" s="159">
        <v>1.1100000000000001</v>
      </c>
      <c r="H131" s="66">
        <f t="shared" si="22"/>
        <v>108.81445242973098</v>
      </c>
      <c r="I131" s="13"/>
    </row>
    <row r="132" spans="1:10" ht="15.75" hidden="1" thickBot="1" x14ac:dyDescent="0.25">
      <c r="A132" s="63">
        <f t="shared" si="23"/>
        <v>2015</v>
      </c>
      <c r="B132" s="64" t="s">
        <v>15</v>
      </c>
      <c r="C132" s="160">
        <f>127.2*1.0101</f>
        <v>128.48472000000001</v>
      </c>
      <c r="D132" s="160">
        <v>147.19999999999999</v>
      </c>
      <c r="E132" s="160">
        <v>131.5</v>
      </c>
      <c r="F132" s="200">
        <f>+F$121*(106.3/103.3)</f>
        <v>101.77221684414327</v>
      </c>
      <c r="G132" s="161">
        <v>1</v>
      </c>
      <c r="H132" s="181">
        <f t="shared" si="22"/>
        <v>108.30898762031161</v>
      </c>
      <c r="I132" s="13"/>
    </row>
    <row r="133" spans="1:10" ht="15.75" hidden="1" thickBot="1" x14ac:dyDescent="0.25">
      <c r="A133" s="70">
        <f t="shared" si="23"/>
        <v>2015</v>
      </c>
      <c r="B133" s="187" t="s">
        <v>16</v>
      </c>
      <c r="C133" s="157">
        <f>127.8*1.0101</f>
        <v>129.09078</v>
      </c>
      <c r="D133" s="157">
        <v>141.69999999999999</v>
      </c>
      <c r="E133" s="157">
        <v>131.1</v>
      </c>
      <c r="F133" s="198">
        <f>+F$121*(106.5/103.3)</f>
        <v>101.96369796708616</v>
      </c>
      <c r="G133" s="159">
        <v>1.07</v>
      </c>
      <c r="H133" s="66">
        <f t="shared" si="22"/>
        <v>108.06715817417275</v>
      </c>
      <c r="I133" s="13"/>
    </row>
    <row r="134" spans="1:10" ht="15.75" hidden="1" thickBot="1" x14ac:dyDescent="0.25">
      <c r="A134" s="32">
        <f t="shared" si="23"/>
        <v>2015</v>
      </c>
      <c r="B134" s="33" t="s">
        <v>17</v>
      </c>
      <c r="C134" s="157">
        <f>127.8*1.0101</f>
        <v>129.09078</v>
      </c>
      <c r="D134" s="157">
        <v>139.30000000000001</v>
      </c>
      <c r="E134" s="157">
        <v>131.4</v>
      </c>
      <c r="F134" s="198">
        <f>+F$121*(106.5/103.3)</f>
        <v>101.96369796708616</v>
      </c>
      <c r="G134" s="159">
        <v>1.1200000000000001</v>
      </c>
      <c r="H134" s="66">
        <f t="shared" si="22"/>
        <v>107.86511619099869</v>
      </c>
      <c r="I134" s="13"/>
    </row>
    <row r="135" spans="1:10" ht="15.75" hidden="1" thickBot="1" x14ac:dyDescent="0.25">
      <c r="A135" s="72">
        <f t="shared" si="23"/>
        <v>2015</v>
      </c>
      <c r="B135" s="73" t="s">
        <v>18</v>
      </c>
      <c r="C135" s="162">
        <f>127.8*1.0101</f>
        <v>129.09078</v>
      </c>
      <c r="D135" s="162">
        <v>139.80000000000001</v>
      </c>
      <c r="E135" s="162">
        <v>131.4</v>
      </c>
      <c r="F135" s="199">
        <f>+F$121*(106.7/103.3)</f>
        <v>102.15517909002905</v>
      </c>
      <c r="G135" s="163">
        <v>1.08</v>
      </c>
      <c r="H135" s="137">
        <f>100+((C135-$C$40)/$C$40*100*$C$2)+((D135-$D$40)/$D$40*100*$D$2)+((E135-$E$40)/$E$40*100*$E$2)+((F135-$F$40)/$F$40*100*$F$2)+((G135-$G$40)/$G$40*100*$G$2)</f>
        <v>107.89207352797142</v>
      </c>
      <c r="I135" s="13"/>
    </row>
    <row r="136" spans="1:10" ht="15.75" hidden="1" thickBot="1" x14ac:dyDescent="0.25">
      <c r="A136" s="74">
        <v>2016</v>
      </c>
      <c r="B136" s="187" t="s">
        <v>8</v>
      </c>
      <c r="C136" s="157">
        <f>128.2*1.0101</f>
        <v>129.49481999999998</v>
      </c>
      <c r="D136" s="157">
        <v>138.5</v>
      </c>
      <c r="E136" s="157">
        <v>131</v>
      </c>
      <c r="F136" s="198">
        <f>+F$121*(106.8/103.3)</f>
        <v>102.25091965150048</v>
      </c>
      <c r="G136" s="159">
        <v>1.03</v>
      </c>
      <c r="H136" s="66">
        <f t="shared" si="22"/>
        <v>107.87881342950875</v>
      </c>
      <c r="I136" s="13"/>
    </row>
    <row r="137" spans="1:10" ht="15.75" hidden="1" thickBot="1" x14ac:dyDescent="0.25">
      <c r="A137" s="32">
        <f>A136</f>
        <v>2016</v>
      </c>
      <c r="B137" s="33" t="s">
        <v>9</v>
      </c>
      <c r="C137" s="157">
        <f>128.2*1.0101</f>
        <v>129.49481999999998</v>
      </c>
      <c r="D137" s="157">
        <v>130.4</v>
      </c>
      <c r="E137" s="157">
        <f>E136*(1+(((SUM(E$124:E$135)-SUM(E$112:E$123))/SUM(E$112:E$123))/12))</f>
        <v>131.04950389465483</v>
      </c>
      <c r="F137" s="198">
        <f>+F$121*(106.8/103.3)</f>
        <v>102.25091965150048</v>
      </c>
      <c r="G137" s="159">
        <v>1.0900000000000001</v>
      </c>
      <c r="H137" s="66">
        <f t="shared" si="22"/>
        <v>106.99342825452445</v>
      </c>
    </row>
    <row r="138" spans="1:10" ht="15.75" hidden="1" thickBot="1" x14ac:dyDescent="0.25">
      <c r="A138" s="63">
        <f t="shared" ref="A138:A147" si="24">A137</f>
        <v>2016</v>
      </c>
      <c r="B138" s="64" t="s">
        <v>10</v>
      </c>
      <c r="C138" s="160">
        <f>128.2*1.0101</f>
        <v>129.49481999999998</v>
      </c>
      <c r="D138" s="202">
        <f>130.4/90.3*87</f>
        <v>125.63455149501662</v>
      </c>
      <c r="E138" s="202">
        <f>131/99.8*99.4</f>
        <v>130.47494989979961</v>
      </c>
      <c r="F138" s="200">
        <f>+F$121*(106.9/103.3)</f>
        <v>102.34666021297194</v>
      </c>
      <c r="G138" s="161">
        <f>+G137</f>
        <v>1.0900000000000001</v>
      </c>
      <c r="H138" s="181">
        <f t="shared" si="22"/>
        <v>106.39519100504542</v>
      </c>
      <c r="I138" s="13"/>
      <c r="J138" s="203" t="s">
        <v>69</v>
      </c>
    </row>
    <row r="139" spans="1:10" ht="15.75" hidden="1" thickBot="1" x14ac:dyDescent="0.25">
      <c r="A139" s="70">
        <f t="shared" si="24"/>
        <v>2016</v>
      </c>
      <c r="B139" s="187" t="s">
        <v>11</v>
      </c>
      <c r="C139" s="157">
        <f>128.7*1.0101</f>
        <v>129.99986999999999</v>
      </c>
      <c r="D139" s="217">
        <f>130.4/90.3*85.6</f>
        <v>123.61284606866002</v>
      </c>
      <c r="E139" s="217">
        <f>131/99.8*100.1</f>
        <v>131.3937875751503</v>
      </c>
      <c r="F139" s="198">
        <f>+F$121*(106.9/103.3)</f>
        <v>102.34666021297194</v>
      </c>
      <c r="G139" s="159">
        <v>0.96</v>
      </c>
      <c r="H139" s="66">
        <f t="shared" si="22"/>
        <v>106.33366536060261</v>
      </c>
      <c r="I139" s="13"/>
    </row>
    <row r="140" spans="1:10" ht="15.75" hidden="1" thickBot="1" x14ac:dyDescent="0.25">
      <c r="A140" s="32">
        <f t="shared" si="24"/>
        <v>2016</v>
      </c>
      <c r="B140" s="33" t="s">
        <v>12</v>
      </c>
      <c r="C140" s="157">
        <f>128.7*1.0101</f>
        <v>129.99986999999999</v>
      </c>
      <c r="D140" s="217">
        <f>130.4/90.3*90.2</f>
        <v>130.25559246954597</v>
      </c>
      <c r="E140" s="217">
        <f>131/99.8*100.2</f>
        <v>131.52505010020042</v>
      </c>
      <c r="F140" s="198">
        <f>+F$121*(107/103.3)</f>
        <v>102.44240077444337</v>
      </c>
      <c r="G140" s="159">
        <v>0.85</v>
      </c>
      <c r="H140" s="66">
        <f t="shared" si="22"/>
        <v>107.00406949674672</v>
      </c>
    </row>
    <row r="141" spans="1:10" ht="15.75" hidden="1" thickBot="1" x14ac:dyDescent="0.25">
      <c r="A141" s="72">
        <f t="shared" si="24"/>
        <v>2016</v>
      </c>
      <c r="B141" s="73" t="s">
        <v>13</v>
      </c>
      <c r="C141" s="162">
        <f>128.7*1.0101</f>
        <v>129.99986999999999</v>
      </c>
      <c r="D141" s="218">
        <f>130.4/90.3*89.7</f>
        <v>129.53355481727576</v>
      </c>
      <c r="E141" s="218">
        <f>131/99.8*100.3</f>
        <v>131.65631262525051</v>
      </c>
      <c r="F141" s="199">
        <f>+F$121*(106.8/103.3)</f>
        <v>102.25091965150048</v>
      </c>
      <c r="G141" s="163">
        <v>0.87</v>
      </c>
      <c r="H141" s="137">
        <f t="shared" si="22"/>
        <v>106.93461364985474</v>
      </c>
    </row>
    <row r="142" spans="1:10" ht="15.75" hidden="1" thickBot="1" x14ac:dyDescent="0.25">
      <c r="A142" s="32">
        <f t="shared" si="24"/>
        <v>2016</v>
      </c>
      <c r="B142" s="33" t="s">
        <v>31</v>
      </c>
      <c r="C142" s="157">
        <f>129.4*1.0101</f>
        <v>130.70694</v>
      </c>
      <c r="D142" s="217">
        <f>130.4/90.3*92.2</f>
        <v>133.14374307862681</v>
      </c>
      <c r="E142" s="217">
        <f>131/99.8*100.5</f>
        <v>131.91883767535072</v>
      </c>
      <c r="F142" s="198">
        <f>+F$121*(106.7/103.3)</f>
        <v>102.15517909002905</v>
      </c>
      <c r="G142" s="159">
        <v>0.83</v>
      </c>
      <c r="H142" s="66">
        <f t="shared" si="22"/>
        <v>107.71403946693806</v>
      </c>
    </row>
    <row r="143" spans="1:10" ht="15.75" hidden="1" thickBot="1" x14ac:dyDescent="0.25">
      <c r="A143" s="32">
        <f t="shared" si="24"/>
        <v>2016</v>
      </c>
      <c r="B143" s="33" t="s">
        <v>14</v>
      </c>
      <c r="C143" s="157">
        <f>129.4*1.0101</f>
        <v>130.70694</v>
      </c>
      <c r="D143" s="217">
        <f>130.4/90.3*95.9</f>
        <v>138.48682170542637</v>
      </c>
      <c r="E143" s="217">
        <f>131/99.8*100.6</f>
        <v>132.05010020040081</v>
      </c>
      <c r="F143" s="198">
        <f>+F$121*(107/103.3)</f>
        <v>102.44240077444337</v>
      </c>
      <c r="G143" s="159">
        <v>0.6</v>
      </c>
      <c r="H143" s="66">
        <f t="shared" si="22"/>
        <v>108.09652584565558</v>
      </c>
      <c r="I143" s="13"/>
    </row>
    <row r="144" spans="1:10" ht="15.75" hidden="1" thickBot="1" x14ac:dyDescent="0.25">
      <c r="A144" s="63">
        <f t="shared" si="24"/>
        <v>2016</v>
      </c>
      <c r="B144" s="64" t="s">
        <v>15</v>
      </c>
      <c r="C144" s="160">
        <f>129.4*1.0101</f>
        <v>130.70694</v>
      </c>
      <c r="D144" s="202">
        <f>130.4/90.3*93.1</f>
        <v>134.44341085271319</v>
      </c>
      <c r="E144" s="202">
        <f>131/99.8*100.5</f>
        <v>131.91883767535072</v>
      </c>
      <c r="F144" s="200">
        <f>+F$121*(107.2/103.3)</f>
        <v>102.63388189738627</v>
      </c>
      <c r="G144" s="161">
        <v>0.63</v>
      </c>
      <c r="H144" s="181">
        <f t="shared" si="22"/>
        <v>107.66155947609626</v>
      </c>
      <c r="J144" s="13"/>
    </row>
    <row r="145" spans="1:17" ht="15.75" hidden="1" thickBot="1" x14ac:dyDescent="0.25">
      <c r="A145" s="70">
        <f t="shared" si="24"/>
        <v>2016</v>
      </c>
      <c r="B145" s="187" t="s">
        <v>16</v>
      </c>
      <c r="C145" s="157">
        <f>130*1.0101</f>
        <v>131.31299999999999</v>
      </c>
      <c r="D145" s="217">
        <f>130.4/90.3*91.1</f>
        <v>131.55526024363235</v>
      </c>
      <c r="E145" s="217">
        <f>131/99.8*100.2</f>
        <v>131.52505010020042</v>
      </c>
      <c r="F145" s="198">
        <f>+F$121*(107.1/103.3)</f>
        <v>102.53814133591482</v>
      </c>
      <c r="G145" s="159">
        <v>0.64</v>
      </c>
      <c r="H145" s="66">
        <f t="shared" si="22"/>
        <v>107.62900109168257</v>
      </c>
      <c r="I145" s="13"/>
    </row>
    <row r="146" spans="1:17" ht="15.75" hidden="1" thickBot="1" x14ac:dyDescent="0.25">
      <c r="A146" s="70">
        <f t="shared" si="24"/>
        <v>2016</v>
      </c>
      <c r="B146" s="33" t="s">
        <v>17</v>
      </c>
      <c r="C146" s="157">
        <f>130*1.0101</f>
        <v>131.31299999999999</v>
      </c>
      <c r="D146" s="217">
        <f>130.4/90.3*93.8</f>
        <v>135.45426356589147</v>
      </c>
      <c r="E146" s="217">
        <f>131/99.8*100.2</f>
        <v>131.52505010020042</v>
      </c>
      <c r="F146" s="198">
        <f>+F$121*(107.2/103.3)</f>
        <v>102.63388189738627</v>
      </c>
      <c r="G146" s="159">
        <v>0.56000000000000005</v>
      </c>
      <c r="H146" s="66">
        <f t="shared" si="22"/>
        <v>108.00141321946754</v>
      </c>
    </row>
    <row r="147" spans="1:17" ht="15.75" hidden="1" thickBot="1" x14ac:dyDescent="0.25">
      <c r="A147" s="70">
        <f t="shared" si="24"/>
        <v>2016</v>
      </c>
      <c r="B147" s="73" t="s">
        <v>18</v>
      </c>
      <c r="C147" s="162">
        <f>130*1.0101</f>
        <v>131.31299999999999</v>
      </c>
      <c r="D147" s="218">
        <f>130.4/90.3*97.5</f>
        <v>140.79734219269105</v>
      </c>
      <c r="E147" s="218">
        <f>131/99.8*100.4</f>
        <v>131.78757515030063</v>
      </c>
      <c r="F147" s="199">
        <f>+F$121*(107.2/103.3)</f>
        <v>102.63388189738627</v>
      </c>
      <c r="G147" s="163">
        <v>0.77</v>
      </c>
      <c r="H147" s="137">
        <f t="shared" si="22"/>
        <v>108.91982850502217</v>
      </c>
      <c r="K147" s="33"/>
      <c r="L147" s="157"/>
      <c r="M147" s="157"/>
      <c r="N147" s="157"/>
      <c r="O147" s="220"/>
      <c r="P147" s="159"/>
      <c r="Q147" s="66"/>
    </row>
    <row r="148" spans="1:17" ht="15.75" hidden="1" thickBot="1" x14ac:dyDescent="0.25">
      <c r="A148" s="74">
        <v>2017</v>
      </c>
      <c r="B148" s="187" t="s">
        <v>8</v>
      </c>
      <c r="C148" s="157">
        <f>130.5*1.0101</f>
        <v>131.81805</v>
      </c>
      <c r="D148" s="217">
        <f>130.4/90.3*95.3</f>
        <v>137.62037652270212</v>
      </c>
      <c r="E148" s="217">
        <f>131/99.8*100.3</f>
        <v>131.65631262525051</v>
      </c>
      <c r="F148" s="198">
        <f>+F$121*(107.2/103.3)</f>
        <v>102.63388189738627</v>
      </c>
      <c r="G148" s="159">
        <v>0.78</v>
      </c>
      <c r="H148" s="66">
        <f>100+((C148-$C$40)/$C$40*100*$C$2)+((D148-$D$40)/$D$40*100*$D$2)+((E148-$E$40)/$E$40*100*$E$2)+((F148-$F$40)/$F$40*100*$F$2)+((G148-$G$40)/$G$40*100*$G$2)</f>
        <v>108.82413829511057</v>
      </c>
    </row>
    <row r="149" spans="1:17" ht="15" hidden="1" customHeight="1" x14ac:dyDescent="0.2">
      <c r="A149" s="32">
        <f>A148</f>
        <v>2017</v>
      </c>
      <c r="B149" s="33" t="s">
        <v>9</v>
      </c>
      <c r="C149" s="157">
        <f>C146*(1+(((SUM(C$136:C$147)-SUM(C$124:C$135))/SUM(C$124:C$135))/4))</f>
        <v>131.82815814722545</v>
      </c>
      <c r="D149" s="217">
        <f>130.4/90.3*100.4</f>
        <v>144.98516057585826</v>
      </c>
      <c r="E149" s="217">
        <f>131/99.8*100.3</f>
        <v>131.65631262525051</v>
      </c>
      <c r="F149" s="198">
        <f>+F$121*(107.1/103.3)</f>
        <v>102.53814133591482</v>
      </c>
      <c r="G149" s="159">
        <v>0.73</v>
      </c>
      <c r="H149" s="66">
        <f t="shared" ref="H149:H159" si="25">100+((C149-$C$40)/$C$40*100*$C$2)+((D149-$D$40)/$D$40*100*$D$2)+((E149-$E$40)/$E$40*100*$E$2)+((F149-$F$40)/$F$40*100*$F$2)+((G149-$G$40)/$G$40*100*$G$2)</f>
        <v>109.63471583497558</v>
      </c>
    </row>
    <row r="150" spans="1:17" ht="15" hidden="1" customHeight="1" x14ac:dyDescent="0.2">
      <c r="A150" s="63">
        <f t="shared" ref="A150:A159" si="26">A149</f>
        <v>2017</v>
      </c>
      <c r="B150" s="64" t="s">
        <v>10</v>
      </c>
      <c r="C150" s="160">
        <f>C147*(1+(((SUM(C$136:C$147)-SUM(C$124:C$135))/SUM(C$124:C$135))/4))</f>
        <v>131.82815814722545</v>
      </c>
      <c r="D150" s="202">
        <f>130.4/90.3*102.6</f>
        <v>148.16212624584716</v>
      </c>
      <c r="E150" s="202">
        <f>131/99.8*100.3</f>
        <v>131.65631262525051</v>
      </c>
      <c r="F150" s="200">
        <f>+F$121*(107.4/103.3)</f>
        <v>102.82536302032916</v>
      </c>
      <c r="G150" s="161">
        <v>0.84</v>
      </c>
      <c r="H150" s="181">
        <f t="shared" si="25"/>
        <v>110.17791280294462</v>
      </c>
    </row>
    <row r="151" spans="1:17" ht="15" hidden="1" customHeight="1" x14ac:dyDescent="0.2">
      <c r="A151" s="70">
        <f t="shared" si="26"/>
        <v>2017</v>
      </c>
      <c r="B151" s="187" t="s">
        <v>11</v>
      </c>
      <c r="C151" s="157">
        <f>131.1*1.0101</f>
        <v>132.42410999999998</v>
      </c>
      <c r="D151" s="217">
        <f>130.4/90.3*100.7</f>
        <v>145.41838316722038</v>
      </c>
      <c r="E151" s="217">
        <f>131/99.8*101.1</f>
        <v>132.70641282565131</v>
      </c>
      <c r="F151" s="198">
        <f>+F$121*(107.5/103.3)</f>
        <v>102.92110358180059</v>
      </c>
      <c r="G151" s="159">
        <v>0.78</v>
      </c>
      <c r="H151" s="66">
        <f t="shared" si="25"/>
        <v>110.18666840076489</v>
      </c>
      <c r="K151" s="33"/>
      <c r="L151" s="66"/>
      <c r="M151" s="66"/>
      <c r="N151" s="66"/>
      <c r="O151" s="66"/>
      <c r="P151" s="66"/>
      <c r="Q151" s="66"/>
    </row>
    <row r="152" spans="1:17" ht="15" hidden="1" customHeight="1" x14ac:dyDescent="0.2">
      <c r="A152" s="32">
        <f t="shared" si="26"/>
        <v>2017</v>
      </c>
      <c r="B152" s="33" t="s">
        <v>12</v>
      </c>
      <c r="C152" s="157">
        <f>131.1*1.0101</f>
        <v>132.42410999999998</v>
      </c>
      <c r="D152" s="217">
        <f>130.4/90.3*99.1</f>
        <v>143.1078626799557</v>
      </c>
      <c r="E152" s="217">
        <f>131/99.8*101.2</f>
        <v>132.8376753507014</v>
      </c>
      <c r="F152" s="198">
        <f>+F$121*(107.9/103.3)</f>
        <v>103.30406582768636</v>
      </c>
      <c r="G152" s="159">
        <v>0.67</v>
      </c>
      <c r="H152" s="66">
        <f t="shared" si="25"/>
        <v>109.81782942046338</v>
      </c>
    </row>
    <row r="153" spans="1:17" ht="15" hidden="1" customHeight="1" thickBot="1" x14ac:dyDescent="0.25">
      <c r="A153" s="72">
        <f t="shared" si="26"/>
        <v>2017</v>
      </c>
      <c r="B153" s="73" t="s">
        <v>13</v>
      </c>
      <c r="C153" s="162">
        <f>131.1*1.0101</f>
        <v>132.42410999999998</v>
      </c>
      <c r="D153" s="218">
        <f>130.4/90.3*100.9</f>
        <v>145.70719822812848</v>
      </c>
      <c r="E153" s="218">
        <f>131/99.8*101.4</f>
        <v>133.10020040080161</v>
      </c>
      <c r="F153" s="199">
        <f>+F$121*(107.7/103.3)</f>
        <v>103.11258470474348</v>
      </c>
      <c r="G153" s="163">
        <v>0.75</v>
      </c>
      <c r="H153" s="137">
        <f t="shared" si="25"/>
        <v>110.22833861979277</v>
      </c>
      <c r="J153" s="6"/>
    </row>
    <row r="154" spans="1:17" ht="15" hidden="1" customHeight="1" x14ac:dyDescent="0.2">
      <c r="A154" s="32">
        <f t="shared" si="26"/>
        <v>2017</v>
      </c>
      <c r="B154" s="33" t="s">
        <v>31</v>
      </c>
      <c r="C154" s="157">
        <f>131.4*1.0101</f>
        <v>132.72713999999999</v>
      </c>
      <c r="D154" s="217">
        <f>130.4/90.3*97.2</f>
        <v>140.36411960132892</v>
      </c>
      <c r="E154" s="217">
        <f>131/99.8*101.3</f>
        <v>132.96893787575152</v>
      </c>
      <c r="F154" s="198">
        <f>+F$121*(107.7/103.3)</f>
        <v>103.11258470474348</v>
      </c>
      <c r="G154" s="159">
        <f>+G153</f>
        <v>0.75</v>
      </c>
      <c r="H154" s="66">
        <f t="shared" si="25"/>
        <v>109.75058594376397</v>
      </c>
      <c r="K154" s="33"/>
      <c r="L154" s="66"/>
      <c r="M154" s="66"/>
      <c r="N154" s="66"/>
      <c r="O154" s="66"/>
      <c r="P154" s="66"/>
      <c r="Q154" s="66"/>
    </row>
    <row r="155" spans="1:17" ht="15" hidden="1" customHeight="1" x14ac:dyDescent="0.2">
      <c r="A155" s="32">
        <f t="shared" si="26"/>
        <v>2017</v>
      </c>
      <c r="B155" s="33" t="s">
        <v>14</v>
      </c>
      <c r="C155" s="157">
        <f>131.4*1.0101</f>
        <v>132.72713999999999</v>
      </c>
      <c r="D155" s="217">
        <f>130.4/90.3*94.3</f>
        <v>136.17630121816168</v>
      </c>
      <c r="E155" s="217">
        <f>131/99.8*101.2</f>
        <v>132.8376753507014</v>
      </c>
      <c r="F155" s="198">
        <f>+F$121*(107.9/103.3)</f>
        <v>103.30406582768636</v>
      </c>
      <c r="G155" s="159">
        <v>0.66</v>
      </c>
      <c r="H155" s="66">
        <f t="shared" si="25"/>
        <v>109.14748480530514</v>
      </c>
    </row>
    <row r="156" spans="1:17" ht="15" hidden="1" customHeight="1" x14ac:dyDescent="0.2">
      <c r="A156" s="63">
        <f t="shared" si="26"/>
        <v>2017</v>
      </c>
      <c r="B156" s="64" t="s">
        <v>15</v>
      </c>
      <c r="C156" s="160">
        <f>131.4*1.0101</f>
        <v>132.72713999999999</v>
      </c>
      <c r="D156" s="202">
        <f>130.4/90.3*94.3</f>
        <v>136.17630121816168</v>
      </c>
      <c r="E156" s="202">
        <f>131/99.8*102</f>
        <v>133.88777555110221</v>
      </c>
      <c r="F156" s="200">
        <f>+F$121*(108.4/103.3)</f>
        <v>103.78276863504357</v>
      </c>
      <c r="G156" s="161">
        <v>0.63</v>
      </c>
      <c r="H156" s="181">
        <f t="shared" si="25"/>
        <v>109.22685315140764</v>
      </c>
    </row>
    <row r="157" spans="1:17" ht="15.75" hidden="1" customHeight="1" x14ac:dyDescent="0.2">
      <c r="A157" s="70">
        <f t="shared" si="26"/>
        <v>2017</v>
      </c>
      <c r="B157" s="187" t="s">
        <v>16</v>
      </c>
      <c r="C157" s="157">
        <f>132.2*1.0101</f>
        <v>133.53521999999998</v>
      </c>
      <c r="D157" s="217">
        <f>130.4/90.3*94.4</f>
        <v>136.32070874861574</v>
      </c>
      <c r="E157" s="217">
        <f>131/99.8*101.7</f>
        <v>133.49398797595191</v>
      </c>
      <c r="F157" s="198">
        <f>+F$121*(108.3/103.3)</f>
        <v>103.68702807357212</v>
      </c>
      <c r="G157" s="159">
        <v>0.56999999999999995</v>
      </c>
      <c r="H157" s="66">
        <f t="shared" si="25"/>
        <v>109.57887653833217</v>
      </c>
      <c r="J157" s="32"/>
      <c r="K157" s="33"/>
      <c r="L157" s="66"/>
      <c r="M157" s="66"/>
      <c r="N157" s="66"/>
      <c r="O157" s="66"/>
      <c r="P157" s="66"/>
      <c r="Q157" s="66"/>
    </row>
    <row r="158" spans="1:17" ht="15.75" hidden="1" thickBot="1" x14ac:dyDescent="0.25">
      <c r="A158" s="32">
        <f t="shared" si="26"/>
        <v>2017</v>
      </c>
      <c r="B158" s="33" t="s">
        <v>17</v>
      </c>
      <c r="C158" s="157">
        <f>132.2*1.0101</f>
        <v>133.53521999999998</v>
      </c>
      <c r="D158" s="217">
        <f>130.4/90.3*97.4</f>
        <v>140.65293466223702</v>
      </c>
      <c r="E158" s="217">
        <f>131/99.8*101.8</f>
        <v>133.625250501002</v>
      </c>
      <c r="F158" s="198">
        <f>+F$121*(108.1/103.3)</f>
        <v>103.49554695062925</v>
      </c>
      <c r="G158" s="159">
        <v>0.52</v>
      </c>
      <c r="H158" s="66">
        <f t="shared" si="25"/>
        <v>110.02306842053328</v>
      </c>
    </row>
    <row r="159" spans="1:17" ht="15.75" hidden="1" thickBot="1" x14ac:dyDescent="0.25">
      <c r="A159" s="72">
        <f t="shared" si="26"/>
        <v>2017</v>
      </c>
      <c r="B159" s="73" t="s">
        <v>18</v>
      </c>
      <c r="C159" s="162">
        <f>132.2*1.0101</f>
        <v>133.53521999999998</v>
      </c>
      <c r="D159" s="218">
        <f>130.4/90.3*99.5</f>
        <v>143.68549280177189</v>
      </c>
      <c r="E159" s="218">
        <f>131/99.8*101.9</f>
        <v>133.75651302605212</v>
      </c>
      <c r="F159" s="199">
        <f>+F$121*(108.5/103.3)</f>
        <v>103.87850919651501</v>
      </c>
      <c r="G159" s="163">
        <v>0.63</v>
      </c>
      <c r="H159" s="137">
        <f t="shared" si="25"/>
        <v>110.56703978888491</v>
      </c>
      <c r="I159" s="13"/>
      <c r="J159" s="13"/>
    </row>
    <row r="160" spans="1:17" ht="15.75" hidden="1" thickBot="1" x14ac:dyDescent="0.25">
      <c r="A160" s="74">
        <v>2018</v>
      </c>
      <c r="B160" s="187" t="s">
        <v>8</v>
      </c>
      <c r="C160" s="157">
        <f>132.9*1.0101</f>
        <v>134.24229</v>
      </c>
      <c r="D160" s="217">
        <f>130.4/90.3*99.7</f>
        <v>143.97430786267998</v>
      </c>
      <c r="E160" s="217">
        <f>131/99.8*101.6</f>
        <v>133.36272545090179</v>
      </c>
      <c r="F160" s="198">
        <f>+F$121*(108.7/103.3)</f>
        <v>104.0699903194579</v>
      </c>
      <c r="G160" s="159">
        <v>0.67</v>
      </c>
      <c r="H160" s="66">
        <f t="shared" ref="H160:H171" si="27">100+((C160-$C$40)/$C$40*100*$C$2)+((D160-$D$40)/$D$40*100*$D$2)+((E160-$E$40)/$E$40*100*$E$2)+((F160-$F$40)/$F$40*100*$F$2)+((G160-$G$40)/$G$40*100*$G$2)</f>
        <v>111.03285607145689</v>
      </c>
      <c r="J160" s="187"/>
      <c r="K160" s="157"/>
    </row>
    <row r="161" spans="1:17" ht="15.75" hidden="1" thickBot="1" x14ac:dyDescent="0.25">
      <c r="A161" s="32">
        <f>A160</f>
        <v>2018</v>
      </c>
      <c r="B161" s="33" t="s">
        <v>9</v>
      </c>
      <c r="C161" s="157">
        <f>132.9*1.0101</f>
        <v>134.24229</v>
      </c>
      <c r="D161" s="217">
        <f>130.4/90.3*101.2</f>
        <v>146.1404208194906</v>
      </c>
      <c r="E161" s="217">
        <f>131/99.8*101.3</f>
        <v>132.96893787575152</v>
      </c>
      <c r="F161" s="198">
        <f>+F$121*(108.3/103.3)</f>
        <v>103.68702807357212</v>
      </c>
      <c r="G161" s="159">
        <v>0.61</v>
      </c>
      <c r="H161" s="66">
        <f t="shared" si="27"/>
        <v>111.15248364784418</v>
      </c>
      <c r="J161" s="32"/>
      <c r="K161" s="33"/>
      <c r="L161" s="66"/>
      <c r="M161" s="66"/>
      <c r="N161" s="66"/>
      <c r="O161" s="66"/>
      <c r="P161" s="66"/>
      <c r="Q161" s="66"/>
    </row>
    <row r="162" spans="1:17" ht="15.75" hidden="1" thickBot="1" x14ac:dyDescent="0.25">
      <c r="A162" s="63">
        <f t="shared" ref="A162:A171" si="28">A161</f>
        <v>2018</v>
      </c>
      <c r="B162" s="64" t="s">
        <v>10</v>
      </c>
      <c r="C162" s="160">
        <f>132.9*1.0101</f>
        <v>134.24229</v>
      </c>
      <c r="D162" s="202">
        <f>130.4/90.3*102.2</f>
        <v>147.58449612403101</v>
      </c>
      <c r="E162" s="202">
        <f>131/99.8*101</f>
        <v>132.57515030060122</v>
      </c>
      <c r="F162" s="200">
        <f>+F$121*(108.9/103.3)</f>
        <v>104.26147144240079</v>
      </c>
      <c r="G162" s="161">
        <v>0.81</v>
      </c>
      <c r="H162" s="181">
        <f t="shared" si="27"/>
        <v>111.60193835031187</v>
      </c>
    </row>
    <row r="163" spans="1:17" ht="15.75" hidden="1" thickBot="1" x14ac:dyDescent="0.25">
      <c r="A163" s="70">
        <f t="shared" si="28"/>
        <v>2018</v>
      </c>
      <c r="B163" s="187" t="s">
        <v>11</v>
      </c>
      <c r="C163" s="157">
        <f>133.4*1.0101</f>
        <v>134.74734000000001</v>
      </c>
      <c r="D163" s="217">
        <f>130.4/90.3*99.7</f>
        <v>143.97430786267998</v>
      </c>
      <c r="E163" s="217">
        <f>131/99.8*101.7</f>
        <v>133.49398797595191</v>
      </c>
      <c r="F163" s="198">
        <f>+F$121*(109/103.3)</f>
        <v>104.35721200387222</v>
      </c>
      <c r="G163" s="159">
        <v>0.77</v>
      </c>
      <c r="H163" s="66">
        <f t="shared" si="27"/>
        <v>111.47338915006364</v>
      </c>
    </row>
    <row r="164" spans="1:17" ht="15.75" hidden="1" thickBot="1" x14ac:dyDescent="0.25">
      <c r="A164" s="32">
        <f t="shared" si="28"/>
        <v>2018</v>
      </c>
      <c r="B164" s="33" t="s">
        <v>12</v>
      </c>
      <c r="C164" s="157">
        <f>133.4*1.0101</f>
        <v>134.74734000000001</v>
      </c>
      <c r="D164" s="217">
        <f>130.4/90.3*100.8</f>
        <v>145.56279069767442</v>
      </c>
      <c r="E164" s="217">
        <f>131/99.8*101.7</f>
        <v>133.49398797595191</v>
      </c>
      <c r="F164" s="198">
        <f>+F$121*(109/103.3)</f>
        <v>104.35721200387222</v>
      </c>
      <c r="G164" s="159">
        <v>0.62</v>
      </c>
      <c r="H164" s="66">
        <f t="shared" si="27"/>
        <v>111.47381500418471</v>
      </c>
    </row>
    <row r="165" spans="1:17" ht="15.75" hidden="1" thickBot="1" x14ac:dyDescent="0.25">
      <c r="A165" s="72">
        <f t="shared" si="28"/>
        <v>2018</v>
      </c>
      <c r="B165" s="73" t="s">
        <v>13</v>
      </c>
      <c r="C165" s="162">
        <f>133.4*1.0101</f>
        <v>134.74734000000001</v>
      </c>
      <c r="D165" s="218">
        <f>130.4/90.3*103.8</f>
        <v>149.89501661129569</v>
      </c>
      <c r="E165" s="218">
        <f>131/99.8*102.2</f>
        <v>134.15030060120242</v>
      </c>
      <c r="F165" s="199">
        <f>+F$121*(109.1/103.3)</f>
        <v>104.45295256534367</v>
      </c>
      <c r="G165" s="163">
        <v>0.76</v>
      </c>
      <c r="H165" s="137">
        <f t="shared" si="27"/>
        <v>112.21998969287162</v>
      </c>
      <c r="I165" s="6"/>
    </row>
    <row r="166" spans="1:17" ht="15.75" hidden="1" thickBot="1" x14ac:dyDescent="0.25">
      <c r="A166" s="32">
        <f t="shared" si="28"/>
        <v>2018</v>
      </c>
      <c r="B166" s="33" t="s">
        <v>31</v>
      </c>
      <c r="C166" s="157">
        <f>134*1.0101</f>
        <v>135.35339999999999</v>
      </c>
      <c r="D166" s="217">
        <f>130.4/90.3*110.6</f>
        <v>159.71472868217054</v>
      </c>
      <c r="E166" s="217">
        <f>131/99.8*102.4</f>
        <v>134.41282565130263</v>
      </c>
      <c r="F166" s="198">
        <f>+F$121*(109.2/103.3)</f>
        <v>104.54869312681511</v>
      </c>
      <c r="G166" s="159">
        <v>0.6</v>
      </c>
      <c r="H166" s="66">
        <f t="shared" si="27"/>
        <v>113.54964250169532</v>
      </c>
      <c r="J166" s="32"/>
      <c r="K166" s="33"/>
      <c r="L166" s="66"/>
      <c r="M166" s="66"/>
      <c r="N166" s="66"/>
      <c r="O166" s="66"/>
      <c r="P166" s="66"/>
      <c r="Q166" s="66"/>
    </row>
    <row r="167" spans="1:17" ht="15.75" hidden="1" thickBot="1" x14ac:dyDescent="0.25">
      <c r="A167" s="32">
        <f t="shared" si="28"/>
        <v>2018</v>
      </c>
      <c r="B167" s="33" t="s">
        <v>14</v>
      </c>
      <c r="C167" s="157">
        <f>134*1.0101</f>
        <v>135.35339999999999</v>
      </c>
      <c r="D167" s="217">
        <f>130.4/90.3*110.3</f>
        <v>159.28150609080842</v>
      </c>
      <c r="E167" s="217">
        <f>131/99.8*102.3</f>
        <v>134.28156312625251</v>
      </c>
      <c r="F167" s="198">
        <f>+F$121*(108.2/103.3)</f>
        <v>103.59128751210068</v>
      </c>
      <c r="G167" s="159">
        <v>0.53</v>
      </c>
      <c r="H167" s="66">
        <f t="shared" si="27"/>
        <v>113.31218632829508</v>
      </c>
    </row>
    <row r="168" spans="1:17" ht="15.75" hidden="1" thickBot="1" x14ac:dyDescent="0.25">
      <c r="A168" s="63">
        <f t="shared" si="28"/>
        <v>2018</v>
      </c>
      <c r="B168" s="64" t="s">
        <v>15</v>
      </c>
      <c r="C168" s="160">
        <f>134*1.0101</f>
        <v>135.35339999999999</v>
      </c>
      <c r="D168" s="202">
        <f>130.4/90.3*110.4</f>
        <v>159.42591362126248</v>
      </c>
      <c r="E168" s="202">
        <f>131/99.8*103.1</f>
        <v>135.33166332665331</v>
      </c>
      <c r="F168" s="200">
        <f>+F$121*(108.8/103.3)</f>
        <v>104.16573088092933</v>
      </c>
      <c r="G168" s="161">
        <v>0.63</v>
      </c>
      <c r="H168" s="181">
        <f t="shared" si="27"/>
        <v>113.58114205607819</v>
      </c>
    </row>
    <row r="169" spans="1:17" ht="15.75" hidden="1" thickBot="1" x14ac:dyDescent="0.25">
      <c r="A169" s="70">
        <f t="shared" si="28"/>
        <v>2018</v>
      </c>
      <c r="B169" s="187" t="s">
        <v>16</v>
      </c>
      <c r="C169" s="157">
        <f>135.2*1.0101</f>
        <v>136.56551999999999</v>
      </c>
      <c r="D169" s="217">
        <f>130.4/90.3*110.1</f>
        <v>158.99269102990033</v>
      </c>
      <c r="E169" s="217">
        <f>131/99.8*102.7</f>
        <v>134.80661322645292</v>
      </c>
      <c r="F169" s="198">
        <f>+F$121*(108.7/103.3)</f>
        <v>104.0699903194579</v>
      </c>
      <c r="G169" s="159">
        <v>0.69</v>
      </c>
      <c r="H169" s="66">
        <f t="shared" si="27"/>
        <v>114.22947809124688</v>
      </c>
    </row>
    <row r="170" spans="1:17" ht="15.75" hidden="1" thickBot="1" x14ac:dyDescent="0.25">
      <c r="A170" s="32">
        <f t="shared" si="28"/>
        <v>2018</v>
      </c>
      <c r="B170" s="33" t="s">
        <v>17</v>
      </c>
      <c r="C170" s="157">
        <f>135.2*1.0101</f>
        <v>136.56551999999999</v>
      </c>
      <c r="D170" s="217">
        <f>130.4/90.3*111.2</f>
        <v>160.58117386489479</v>
      </c>
      <c r="E170" s="217">
        <f>131/99.8*102.4</f>
        <v>134.41282565130263</v>
      </c>
      <c r="F170" s="198">
        <f>+F$121*(109.4/103.3)</f>
        <v>104.74017424975801</v>
      </c>
      <c r="G170" s="159">
        <v>0.57999999999999996</v>
      </c>
      <c r="H170" s="66">
        <f t="shared" si="27"/>
        <v>114.3150610558983</v>
      </c>
    </row>
    <row r="171" spans="1:17" ht="15.75" hidden="1" thickBot="1" x14ac:dyDescent="0.25">
      <c r="A171" s="72">
        <f t="shared" si="28"/>
        <v>2018</v>
      </c>
      <c r="B171" s="73" t="s">
        <v>18</v>
      </c>
      <c r="C171" s="162">
        <f>135.2*1.0101</f>
        <v>136.56551999999999</v>
      </c>
      <c r="D171" s="218">
        <f>130.4/90.3*115.7</f>
        <v>167.07951273532669</v>
      </c>
      <c r="E171" s="218">
        <f>131/99.8*102.7</f>
        <v>134.80661322645292</v>
      </c>
      <c r="F171" s="199">
        <f>+F$121*(109.9/103.3)</f>
        <v>105.21887705711521</v>
      </c>
      <c r="G171" s="163">
        <v>0.62</v>
      </c>
      <c r="H171" s="137">
        <f t="shared" si="27"/>
        <v>115.21063260362148</v>
      </c>
      <c r="I171" s="13"/>
    </row>
    <row r="172" spans="1:17" ht="15.75" hidden="1" thickBot="1" x14ac:dyDescent="0.25">
      <c r="A172" s="74">
        <v>2019</v>
      </c>
      <c r="B172" s="187" t="s">
        <v>8</v>
      </c>
      <c r="C172" s="157">
        <f>135.8*1.0101</f>
        <v>137.17158000000001</v>
      </c>
      <c r="D172" s="217">
        <f>130.4/90.3*114.5</f>
        <v>165.34662236987819</v>
      </c>
      <c r="E172" s="217">
        <f>131/99.8*102.4</f>
        <v>134.41282565130263</v>
      </c>
      <c r="F172" s="198">
        <f>+F$121*(109.9/103.3)</f>
        <v>105.21887705711521</v>
      </c>
      <c r="G172" s="159">
        <v>0.63</v>
      </c>
      <c r="H172" s="66">
        <f>100+((C172-$C$40)/$C$40*100*$C$2)+((D172-$D$40)/$D$40*100*$D$2)+((E172-$E$40)/$E$40*100*$E$2)+((F172-$F$40)/$F$40*100*$F$2)+((G172-$G$40)/$G$40*100*$G$2)</f>
        <v>115.32447919702147</v>
      </c>
      <c r="I172" s="13"/>
    </row>
    <row r="173" spans="1:17" ht="15.75" hidden="1" thickBot="1" x14ac:dyDescent="0.25">
      <c r="A173" s="32">
        <f>A172</f>
        <v>2019</v>
      </c>
      <c r="B173" s="33" t="s">
        <v>9</v>
      </c>
      <c r="C173" s="157">
        <f>135.8*1.0101</f>
        <v>137.17158000000001</v>
      </c>
      <c r="D173" s="217">
        <f>130.4/90.3*107.4</f>
        <v>155.09368770764121</v>
      </c>
      <c r="E173" s="217">
        <f>131/99.8*102.1</f>
        <v>134.0190380761523</v>
      </c>
      <c r="F173" s="198">
        <f>+F$121*(109.7/103.3)/103.6*103.6</f>
        <v>105.02739593417233</v>
      </c>
      <c r="G173" s="159">
        <v>0.63</v>
      </c>
      <c r="H173" s="66">
        <f t="shared" ref="H173:H183" si="29">100+((C173-$C$40)/$C$40*100*$C$2)+((D173-$D$40)/$D$40*100*$D$2)+((E173-$E$40)/$E$40*100*$E$2)+((F173-$F$40)/$F$40*100*$F$2)+((G173-$G$40)/$G$40*100*$G$2)</f>
        <v>114.05886841449308</v>
      </c>
      <c r="I173" s="13"/>
    </row>
    <row r="174" spans="1:17" ht="15.75" hidden="1" thickBot="1" x14ac:dyDescent="0.25">
      <c r="A174" s="63">
        <f t="shared" ref="A174:A183" si="30">A173</f>
        <v>2019</v>
      </c>
      <c r="B174" s="64" t="s">
        <v>10</v>
      </c>
      <c r="C174" s="160">
        <f>135.8*1.0101</f>
        <v>137.17158000000001</v>
      </c>
      <c r="D174" s="202">
        <f>130.4/90.3*105.4</f>
        <v>152.20553709856037</v>
      </c>
      <c r="E174" s="202">
        <f>131/99.8*102.3</f>
        <v>134.28156312625251</v>
      </c>
      <c r="F174" s="200">
        <f>+F$173*(103.3/103.6)</f>
        <v>104.72326254826257</v>
      </c>
      <c r="G174" s="161">
        <v>0.68</v>
      </c>
      <c r="H174" s="181">
        <f t="shared" si="29"/>
        <v>113.76792809580697</v>
      </c>
      <c r="I174" s="13"/>
    </row>
    <row r="175" spans="1:17" ht="15.75" hidden="1" thickBot="1" x14ac:dyDescent="0.25">
      <c r="A175" s="70">
        <f t="shared" si="30"/>
        <v>2019</v>
      </c>
      <c r="B175" s="187" t="s">
        <v>11</v>
      </c>
      <c r="C175" s="157">
        <f>136.4*1.0101</f>
        <v>137.77764000000002</v>
      </c>
      <c r="D175" s="217">
        <f>130.4/90.3*107.8</f>
        <v>155.67131782945737</v>
      </c>
      <c r="E175" s="217">
        <f>131/99.8*102.8</f>
        <v>134.93787575150301</v>
      </c>
      <c r="F175" s="198">
        <f>+F$173*(103.6/103.6)</f>
        <v>105.02739593417233</v>
      </c>
      <c r="G175" s="159">
        <v>0.55000000000000004</v>
      </c>
      <c r="H175" s="66">
        <f t="shared" si="29"/>
        <v>114.42548718976133</v>
      </c>
      <c r="I175" s="13"/>
    </row>
    <row r="176" spans="1:17" ht="15.75" hidden="1" thickBot="1" x14ac:dyDescent="0.25">
      <c r="A176" s="32">
        <f t="shared" si="30"/>
        <v>2019</v>
      </c>
      <c r="B176" s="33" t="s">
        <v>12</v>
      </c>
      <c r="C176" s="157">
        <f>136.4*1.0101</f>
        <v>137.77764000000002</v>
      </c>
      <c r="D176" s="217">
        <f>130.4/90.3*110.5</f>
        <v>159.57032115171651</v>
      </c>
      <c r="E176" s="217">
        <f>131/99.8*102.9</f>
        <v>135.06913827655313</v>
      </c>
      <c r="F176" s="198">
        <f>+F$173*(103.7/103.6)</f>
        <v>105.12877372947561</v>
      </c>
      <c r="G176" s="159">
        <f>+G175</f>
        <v>0.55000000000000004</v>
      </c>
      <c r="H176" s="66">
        <f t="shared" si="29"/>
        <v>114.90814252864151</v>
      </c>
      <c r="I176" s="13"/>
    </row>
    <row r="177" spans="1:10" ht="15.75" hidden="1" thickBot="1" x14ac:dyDescent="0.25">
      <c r="A177" s="63">
        <f t="shared" si="30"/>
        <v>2019</v>
      </c>
      <c r="B177" s="64" t="s">
        <v>13</v>
      </c>
      <c r="C177" s="160">
        <f>136.4*1.0101</f>
        <v>137.77764000000002</v>
      </c>
      <c r="D177" s="202">
        <f>130.4/90.3*110.9</f>
        <v>160.1479512735327</v>
      </c>
      <c r="E177" s="202">
        <f>131/99.8*103.2</f>
        <v>135.46292585170343</v>
      </c>
      <c r="F177" s="200">
        <f>+F$173*(104.5/103.6)</f>
        <v>105.93979609190164</v>
      </c>
      <c r="G177" s="161">
        <v>0.59</v>
      </c>
      <c r="H177" s="181">
        <f t="shared" si="29"/>
        <v>115.12966981526006</v>
      </c>
      <c r="I177" s="13"/>
    </row>
    <row r="178" spans="1:10" ht="12.75" hidden="1" customHeight="1" x14ac:dyDescent="0.2">
      <c r="A178" s="32">
        <f t="shared" si="30"/>
        <v>2019</v>
      </c>
      <c r="B178" s="33" t="s">
        <v>31</v>
      </c>
      <c r="C178" s="157">
        <f>136.6*1.0101</f>
        <v>137.97966</v>
      </c>
      <c r="D178" s="217">
        <f>130.4/90.3*112.1</f>
        <v>161.88084163898117</v>
      </c>
      <c r="E178" s="217">
        <f>131/99.8*103.1</f>
        <v>135.33166332665331</v>
      </c>
      <c r="F178" s="198">
        <f>+F$173*(104.6/103.6)</f>
        <v>106.04117388720489</v>
      </c>
      <c r="G178" s="159">
        <v>0.56999999999999995</v>
      </c>
      <c r="H178" s="66">
        <f t="shared" si="29"/>
        <v>115.4227270377541</v>
      </c>
      <c r="I178" s="13"/>
    </row>
    <row r="179" spans="1:10" ht="15.75" hidden="1" thickBot="1" x14ac:dyDescent="0.25">
      <c r="A179" s="32">
        <f t="shared" si="30"/>
        <v>2019</v>
      </c>
      <c r="B179" s="33" t="s">
        <v>14</v>
      </c>
      <c r="C179" s="157">
        <f>136.6*1.0101</f>
        <v>137.97966</v>
      </c>
      <c r="D179" s="217">
        <f>130.4/90.3*107.1</f>
        <v>154.66046511627906</v>
      </c>
      <c r="E179" s="217">
        <f>131/99.8*102.9</f>
        <v>135.06913827655313</v>
      </c>
      <c r="F179" s="198">
        <f>+F$173*(105/103.6)</f>
        <v>106.44668506841791</v>
      </c>
      <c r="G179" s="159">
        <v>0.39</v>
      </c>
      <c r="H179" s="66">
        <f t="shared" si="29"/>
        <v>114.35614575682416</v>
      </c>
      <c r="I179" s="13"/>
    </row>
    <row r="180" spans="1:10" ht="15.75" hidden="1" thickBot="1" x14ac:dyDescent="0.25">
      <c r="A180" s="63">
        <f t="shared" si="30"/>
        <v>2019</v>
      </c>
      <c r="B180" s="64" t="s">
        <v>15</v>
      </c>
      <c r="C180" s="160">
        <f>136.6*1.0101</f>
        <v>137.97966</v>
      </c>
      <c r="D180" s="202">
        <f>130.4/90.3*108.2</f>
        <v>156.24894795127355</v>
      </c>
      <c r="E180" s="202">
        <f>131/99.8*103.5</f>
        <v>135.85671342685373</v>
      </c>
      <c r="F180" s="200">
        <f>+F$173*(104.4/103.6)</f>
        <v>105.83841829659839</v>
      </c>
      <c r="G180" s="161">
        <v>0.3</v>
      </c>
      <c r="H180" s="181">
        <f t="shared" si="29"/>
        <v>114.43021496834194</v>
      </c>
      <c r="I180" s="13"/>
    </row>
    <row r="181" spans="1:10" ht="14.25" hidden="1" customHeight="1" x14ac:dyDescent="0.2">
      <c r="A181" s="70">
        <f t="shared" si="30"/>
        <v>2019</v>
      </c>
      <c r="B181" s="187" t="s">
        <v>16</v>
      </c>
      <c r="C181" s="157">
        <f>137.8*1.0101</f>
        <v>139.19178000000002</v>
      </c>
      <c r="D181" s="217">
        <f>130.4/90.3*107</f>
        <v>154.51605758582502</v>
      </c>
      <c r="E181" s="217">
        <f>131/99.8*103.1</f>
        <v>135.33166332665331</v>
      </c>
      <c r="F181" s="198">
        <f>+F$173*(104.1/103.6)</f>
        <v>105.5342849106886</v>
      </c>
      <c r="G181" s="159">
        <v>0.21</v>
      </c>
      <c r="H181" s="66">
        <f t="shared" si="29"/>
        <v>114.7158339003598</v>
      </c>
      <c r="I181" s="13"/>
    </row>
    <row r="182" spans="1:10" ht="18" hidden="1" customHeight="1" x14ac:dyDescent="0.2">
      <c r="A182" s="32">
        <f t="shared" si="30"/>
        <v>2019</v>
      </c>
      <c r="B182" s="33" t="s">
        <v>17</v>
      </c>
      <c r="C182" s="157">
        <f>137.8*1.0101</f>
        <v>139.19178000000002</v>
      </c>
      <c r="D182" s="217">
        <f>130.4/90.3*110.4</f>
        <v>159.42591362126248</v>
      </c>
      <c r="E182" s="217">
        <f>131/99.8*102.9</f>
        <v>135.06913827655313</v>
      </c>
      <c r="F182" s="198">
        <f>+F$173*(103.9/103.6)</f>
        <v>105.3315293200821</v>
      </c>
      <c r="G182" s="159">
        <v>0.26</v>
      </c>
      <c r="H182" s="66">
        <f t="shared" si="29"/>
        <v>115.32625709959333</v>
      </c>
      <c r="I182" s="13"/>
    </row>
    <row r="183" spans="1:10" ht="15.75" hidden="1" thickBot="1" x14ac:dyDescent="0.25">
      <c r="A183" s="72">
        <f t="shared" si="30"/>
        <v>2019</v>
      </c>
      <c r="B183" s="73" t="s">
        <v>18</v>
      </c>
      <c r="C183" s="162">
        <f>137.8*1.0101</f>
        <v>139.19178000000002</v>
      </c>
      <c r="D183" s="218">
        <f>130.4/90.3*109.9</f>
        <v>158.70387596899226</v>
      </c>
      <c r="E183" s="218">
        <f>131/99.8*103.3</f>
        <v>135.59418837675352</v>
      </c>
      <c r="F183" s="199">
        <f>+F$173*(103.7/103.6)</f>
        <v>105.12877372947561</v>
      </c>
      <c r="G183" s="163">
        <v>0.34</v>
      </c>
      <c r="H183" s="137">
        <f t="shared" si="29"/>
        <v>115.35850327339361</v>
      </c>
      <c r="I183" s="13"/>
      <c r="J183" s="13"/>
    </row>
    <row r="184" spans="1:10" ht="15.75" hidden="1" thickBot="1" x14ac:dyDescent="0.25">
      <c r="A184" s="74">
        <v>2020</v>
      </c>
      <c r="B184" s="187" t="s">
        <v>8</v>
      </c>
      <c r="C184" s="157">
        <f>138.6*1.0101</f>
        <v>139.99985999999998</v>
      </c>
      <c r="D184" s="217">
        <f>130.4/90.3*108.9</f>
        <v>157.25980066445183</v>
      </c>
      <c r="E184" s="217">
        <f>131/99.8*103.1</f>
        <v>135.33166332665331</v>
      </c>
      <c r="F184" s="198">
        <f>+F$173*(103.9/103.6)</f>
        <v>105.3315293200821</v>
      </c>
      <c r="G184" s="159">
        <v>0.23</v>
      </c>
      <c r="H184" s="66">
        <f t="shared" ref="H184:H195" si="31">100+((C184-$C$40)/$C$40*100*$C$2)+((D184-$D$40)/$D$40*100*$D$2)+((E184-$E$40)/$E$40*100*$E$2)+((F184-$F$40)/$F$40*100*$F$2)+((G184-$G$40)/$G$40*100*$G$2)</f>
        <v>115.49528725236792</v>
      </c>
    </row>
    <row r="185" spans="1:10" ht="15.75" hidden="1" thickBot="1" x14ac:dyDescent="0.25">
      <c r="A185" s="32">
        <f>A184</f>
        <v>2020</v>
      </c>
      <c r="B185" s="33" t="s">
        <v>9</v>
      </c>
      <c r="C185" s="157">
        <f>138.6*1.0101</f>
        <v>139.99985999999998</v>
      </c>
      <c r="D185" s="217">
        <f>130.4/90.3*110.7</f>
        <v>159.85913621262461</v>
      </c>
      <c r="E185" s="217">
        <f>131/99.8*102.9</f>
        <v>135.06913827655313</v>
      </c>
      <c r="F185" s="198">
        <f>+F$173*(104/103.6)</f>
        <v>105.43290711538535</v>
      </c>
      <c r="G185" s="159">
        <v>0.36</v>
      </c>
      <c r="H185" s="66">
        <f t="shared" si="31"/>
        <v>115.95946691988824</v>
      </c>
    </row>
    <row r="186" spans="1:10" ht="15.75" hidden="1" thickBot="1" x14ac:dyDescent="0.25">
      <c r="A186" s="63">
        <f t="shared" ref="A186:A195" si="32">A185</f>
        <v>2020</v>
      </c>
      <c r="B186" s="64" t="s">
        <v>10</v>
      </c>
      <c r="C186" s="160">
        <f>138.6*1.0101</f>
        <v>139.99985999999998</v>
      </c>
      <c r="D186" s="202">
        <f>130.4/90.3*114.6</f>
        <v>165.49102990033222</v>
      </c>
      <c r="E186" s="202">
        <f>131/99.8*103</f>
        <v>135.20040080160322</v>
      </c>
      <c r="F186" s="200">
        <f>+F$173*(104.9/103.6)</f>
        <v>106.34530727311467</v>
      </c>
      <c r="G186" s="161">
        <v>0.28999999999999998</v>
      </c>
      <c r="H186" s="181">
        <f t="shared" si="31"/>
        <v>116.635540417017</v>
      </c>
    </row>
    <row r="187" spans="1:10" ht="15.75" hidden="1" thickBot="1" x14ac:dyDescent="0.25">
      <c r="A187" s="70">
        <f t="shared" si="32"/>
        <v>2020</v>
      </c>
      <c r="B187" s="187" t="s">
        <v>11</v>
      </c>
      <c r="C187" s="157">
        <f>139.2*1.0101</f>
        <v>140.60592</v>
      </c>
      <c r="D187" s="217">
        <f>130.4/90.3*108.1</f>
        <v>156.10454042081949</v>
      </c>
      <c r="E187" s="217">
        <f>131/99.8*103.6</f>
        <v>135.98797595190382</v>
      </c>
      <c r="F187" s="198">
        <f>+F$173*(105/103.6)</f>
        <v>106.44668506841791</v>
      </c>
      <c r="G187" s="159">
        <v>0.1</v>
      </c>
      <c r="H187" s="66">
        <f t="shared" si="31"/>
        <v>115.67789442141986</v>
      </c>
    </row>
    <row r="188" spans="1:10" ht="15.75" hidden="1" thickBot="1" x14ac:dyDescent="0.25">
      <c r="A188" s="32">
        <f t="shared" si="32"/>
        <v>2020</v>
      </c>
      <c r="B188" s="33" t="s">
        <v>12</v>
      </c>
      <c r="C188" s="157">
        <f>139.2*1.0101</f>
        <v>140.60592</v>
      </c>
      <c r="D188" s="217">
        <f>130.4/90.3*100.9</f>
        <v>145.70719822812848</v>
      </c>
      <c r="E188" s="217">
        <f>131/99.8*103.3</f>
        <v>135.59418837675352</v>
      </c>
      <c r="F188" s="198">
        <f>+F$173*(105.2/103.6)</f>
        <v>106.64944065902444</v>
      </c>
      <c r="G188" s="159">
        <v>0.45</v>
      </c>
      <c r="H188" s="66">
        <f t="shared" si="31"/>
        <v>114.87188483156237</v>
      </c>
    </row>
    <row r="189" spans="1:10" ht="15.75" hidden="1" thickBot="1" x14ac:dyDescent="0.25">
      <c r="A189" s="63">
        <f t="shared" si="32"/>
        <v>2020</v>
      </c>
      <c r="B189" s="64" t="s">
        <v>13</v>
      </c>
      <c r="C189" s="160">
        <f>139.2*1.0101</f>
        <v>140.60592</v>
      </c>
      <c r="D189" s="202">
        <f>130.4/90.3*92.5</f>
        <v>133.57696566998894</v>
      </c>
      <c r="E189" s="202">
        <f>131/99.8*103.2</f>
        <v>135.46292585170343</v>
      </c>
      <c r="F189" s="200">
        <f>+F$173*(105.2/103.6)</f>
        <v>106.64944065902444</v>
      </c>
      <c r="G189" s="161">
        <v>0.35</v>
      </c>
      <c r="H189" s="181">
        <f t="shared" si="31"/>
        <v>113.29293158687308</v>
      </c>
    </row>
    <row r="190" spans="1:10" ht="15.75" hidden="1" thickBot="1" x14ac:dyDescent="0.25">
      <c r="A190" s="32">
        <f t="shared" si="32"/>
        <v>2020</v>
      </c>
      <c r="B190" s="33" t="s">
        <v>31</v>
      </c>
      <c r="C190" s="157">
        <f>139.8*1.0101</f>
        <v>141.21198000000001</v>
      </c>
      <c r="D190" s="217">
        <f>130.4/90.3*88.1</f>
        <v>127.22303433001107</v>
      </c>
      <c r="E190" s="217">
        <f>131/99.8*103.1</f>
        <v>135.33166332665331</v>
      </c>
      <c r="F190" s="222">
        <f>+F$173*(105.3/103.6)</f>
        <v>106.75081845432769</v>
      </c>
      <c r="G190" s="159">
        <v>0.23</v>
      </c>
      <c r="H190" s="66">
        <f t="shared" si="31"/>
        <v>112.72071229548855</v>
      </c>
    </row>
    <row r="191" spans="1:10" ht="15.75" hidden="1" thickBot="1" x14ac:dyDescent="0.25">
      <c r="A191" s="32">
        <f t="shared" si="32"/>
        <v>2020</v>
      </c>
      <c r="B191" s="33" t="s">
        <v>14</v>
      </c>
      <c r="C191" s="157">
        <f>139.8*1.0101</f>
        <v>141.21198000000001</v>
      </c>
      <c r="D191" s="217">
        <f>130.4/90.3*92.5</f>
        <v>133.57696566998894</v>
      </c>
      <c r="E191" s="217">
        <f>131/99.8*103.2</f>
        <v>135.46292585170343</v>
      </c>
      <c r="F191" s="198">
        <f>+F$173*(105.5/103.6)</f>
        <v>106.95357404493419</v>
      </c>
      <c r="G191" s="159">
        <v>0.22</v>
      </c>
      <c r="H191" s="66">
        <f t="shared" si="31"/>
        <v>113.49243885353881</v>
      </c>
    </row>
    <row r="192" spans="1:10" ht="15.75" hidden="1" thickBot="1" x14ac:dyDescent="0.25">
      <c r="A192" s="63">
        <f t="shared" si="32"/>
        <v>2020</v>
      </c>
      <c r="B192" s="64" t="s">
        <v>15</v>
      </c>
      <c r="C192" s="160">
        <f>139.8*1.0101</f>
        <v>141.21198000000001</v>
      </c>
      <c r="D192" s="202">
        <f>130.4/90.3*95.7</f>
        <v>138.19800664451827</v>
      </c>
      <c r="E192" s="202">
        <f>131/99.8*104</f>
        <v>136.51302605210421</v>
      </c>
      <c r="F192" s="200">
        <f>+F$173*(105.7/103.6)</f>
        <v>107.1563296355407</v>
      </c>
      <c r="G192" s="161">
        <v>0.17</v>
      </c>
      <c r="H192" s="181">
        <f t="shared" si="31"/>
        <v>114.07119691049098</v>
      </c>
    </row>
    <row r="193" spans="1:27" ht="15.75" hidden="1" thickBot="1" x14ac:dyDescent="0.25">
      <c r="A193" s="32">
        <f t="shared" si="32"/>
        <v>2020</v>
      </c>
      <c r="B193" s="33" t="s">
        <v>16</v>
      </c>
      <c r="C193" s="157">
        <f>140.2*1.0101</f>
        <v>141.61601999999999</v>
      </c>
      <c r="D193" s="217">
        <f>130.4/90.3*95.7</f>
        <v>138.19800664451827</v>
      </c>
      <c r="E193" s="217">
        <f>131/99.8*103.6</f>
        <v>135.98797595190382</v>
      </c>
      <c r="F193" s="222">
        <f>+F$173*(106/103.6)</f>
        <v>107.46046302145045</v>
      </c>
      <c r="G193" s="159">
        <v>0.22</v>
      </c>
      <c r="H193" s="66">
        <f t="shared" si="31"/>
        <v>114.34913890532042</v>
      </c>
    </row>
    <row r="194" spans="1:27" ht="15.75" hidden="1" thickBot="1" x14ac:dyDescent="0.25">
      <c r="A194" s="32">
        <f t="shared" si="32"/>
        <v>2020</v>
      </c>
      <c r="B194" s="33" t="s">
        <v>17</v>
      </c>
      <c r="C194" s="157">
        <f>140.2*1.0101</f>
        <v>141.61601999999999</v>
      </c>
      <c r="D194" s="217">
        <f>130.4/90.3*93.5</f>
        <v>135.02104097452934</v>
      </c>
      <c r="E194" s="217">
        <f>131/99.8*103.5</f>
        <v>135.85671342685373</v>
      </c>
      <c r="F194" s="198">
        <f>+F$173*(105.9/103.6)</f>
        <v>107.3590852261472</v>
      </c>
      <c r="G194" s="159">
        <v>0.15</v>
      </c>
      <c r="H194" s="66">
        <f t="shared" si="31"/>
        <v>113.86439011534036</v>
      </c>
    </row>
    <row r="195" spans="1:27" ht="15.75" hidden="1" thickBot="1" x14ac:dyDescent="0.25">
      <c r="A195" s="72">
        <f t="shared" si="32"/>
        <v>2020</v>
      </c>
      <c r="B195" s="73" t="s">
        <v>18</v>
      </c>
      <c r="C195" s="162">
        <f>140.2*1.0101</f>
        <v>141.61601999999999</v>
      </c>
      <c r="D195" s="218">
        <f>130.4/90.3*93.3</f>
        <v>134.73222591362128</v>
      </c>
      <c r="E195" s="218">
        <f>131/99.8*103.7</f>
        <v>136.11923847695391</v>
      </c>
      <c r="F195" s="199">
        <f>+F$173*(105.7/103.6)</f>
        <v>107.1563296355407</v>
      </c>
      <c r="G195" s="163">
        <v>0.08</v>
      </c>
      <c r="H195" s="137">
        <f t="shared" si="31"/>
        <v>113.74134760862323</v>
      </c>
    </row>
    <row r="196" spans="1:27" ht="15.75" hidden="1" thickBot="1" x14ac:dyDescent="0.25">
      <c r="A196" s="74">
        <v>2021</v>
      </c>
      <c r="B196" s="187" t="s">
        <v>8</v>
      </c>
      <c r="C196" s="157">
        <f>141*1.0101</f>
        <v>142.42410000000001</v>
      </c>
      <c r="D196" s="217">
        <f>130.4/90.3*93.5</f>
        <v>135.02104097452934</v>
      </c>
      <c r="E196" s="217">
        <f>131/99.8*103.6</f>
        <v>135.98797595190382</v>
      </c>
      <c r="F196" s="198">
        <f>+F$173*(106.1/103.6)</f>
        <v>107.5618408167537</v>
      </c>
      <c r="G196" s="159">
        <v>0.15</v>
      </c>
      <c r="H196" s="66">
        <f t="shared" ref="H196:H207" si="33">100+((C196-$C$40)/$C$40*100*$C$2)+((D196-$D$40)/$D$40*100*$D$2)+((E196-$E$40)/$E$40*100*$E$2)+((F196-$F$40)/$F$40*100*$F$2)+((G196-$G$40)/$G$40*100*$G$2)</f>
        <v>114.33872793080046</v>
      </c>
      <c r="J196" s="13"/>
    </row>
    <row r="197" spans="1:27" ht="15.75" hidden="1" thickBot="1" x14ac:dyDescent="0.25">
      <c r="A197" s="32">
        <f>A196</f>
        <v>2021</v>
      </c>
      <c r="B197" s="33" t="s">
        <v>9</v>
      </c>
      <c r="C197" s="157">
        <f>141*1.0101</f>
        <v>142.42410000000001</v>
      </c>
      <c r="D197" s="217">
        <f>130.4/90.3*98.6</f>
        <v>142.38582502768548</v>
      </c>
      <c r="E197" s="217">
        <f>131/99.8*103.4</f>
        <v>135.72545090180361</v>
      </c>
      <c r="F197" s="198">
        <f>+F$173*(105.8/103.6)</f>
        <v>107.25770743084395</v>
      </c>
      <c r="G197" s="159">
        <v>-0.01</v>
      </c>
      <c r="H197" s="66">
        <f t="shared" si="33"/>
        <v>114.96785702200084</v>
      </c>
      <c r="P197" s="219"/>
    </row>
    <row r="198" spans="1:27" ht="15.75" hidden="1" thickBot="1" x14ac:dyDescent="0.25">
      <c r="A198" s="63">
        <f t="shared" ref="A198:A207" si="34">A197</f>
        <v>2021</v>
      </c>
      <c r="B198" s="64" t="s">
        <v>10</v>
      </c>
      <c r="C198" s="160">
        <f>141*1.0101</f>
        <v>142.42410000000001</v>
      </c>
      <c r="D198" s="202">
        <f>130.4/90.3*100.8</f>
        <v>145.56279069767442</v>
      </c>
      <c r="E198" s="202">
        <f>131/99.8*103.6</f>
        <v>135.98797595190382</v>
      </c>
      <c r="F198" s="200">
        <f>+F$173*(106.9/103.6)</f>
        <v>108.37286317917976</v>
      </c>
      <c r="G198" s="161">
        <v>0.14000000000000001</v>
      </c>
      <c r="H198" s="181">
        <f t="shared" si="33"/>
        <v>115.65629152022137</v>
      </c>
      <c r="P198" s="221"/>
    </row>
    <row r="199" spans="1:27" ht="15.75" hidden="1" thickBot="1" x14ac:dyDescent="0.25">
      <c r="A199" s="70">
        <f t="shared" si="34"/>
        <v>2021</v>
      </c>
      <c r="B199" s="187" t="s">
        <v>11</v>
      </c>
      <c r="C199" s="157">
        <f>141.6*1.0101</f>
        <v>143.03016</v>
      </c>
      <c r="D199" s="217">
        <f>130.4/90.3*105.1</f>
        <v>151.77231450719822</v>
      </c>
      <c r="E199" s="217">
        <f>131/99.8*104.2</f>
        <v>136.77555110220442</v>
      </c>
      <c r="F199" s="198">
        <f>+F$173*(107.1/103.6)</f>
        <v>108.57561876978626</v>
      </c>
      <c r="G199" s="159">
        <v>0.33</v>
      </c>
      <c r="H199" s="66">
        <f t="shared" si="33"/>
        <v>117.04269769478231</v>
      </c>
    </row>
    <row r="200" spans="1:27" ht="15.75" hidden="1" thickBot="1" x14ac:dyDescent="0.25">
      <c r="A200" s="32">
        <f t="shared" si="34"/>
        <v>2021</v>
      </c>
      <c r="B200" s="33" t="s">
        <v>12</v>
      </c>
      <c r="C200" s="157">
        <f>141.6*1.0101</f>
        <v>143.03016</v>
      </c>
      <c r="D200" s="217">
        <f>130.4/90.3*108.8</f>
        <v>157.1153931339978</v>
      </c>
      <c r="E200" s="217">
        <f>131/99.8*104.3</f>
        <v>136.90681362725451</v>
      </c>
      <c r="F200" s="198">
        <f>+F$173*(107.7/103.6)</f>
        <v>109.1838855416058</v>
      </c>
      <c r="G200" s="159">
        <v>0.44</v>
      </c>
      <c r="H200" s="66">
        <f t="shared" si="33"/>
        <v>117.88261404066569</v>
      </c>
    </row>
    <row r="201" spans="1:27" ht="15.75" hidden="1" thickBot="1" x14ac:dyDescent="0.25">
      <c r="A201" s="63">
        <f t="shared" si="34"/>
        <v>2021</v>
      </c>
      <c r="B201" s="64" t="s">
        <v>13</v>
      </c>
      <c r="C201" s="160">
        <f>141.6*1.0101</f>
        <v>143.03016</v>
      </c>
      <c r="D201" s="202">
        <f>130.4/90.3*106.7</f>
        <v>154.0828349944629</v>
      </c>
      <c r="E201" s="202">
        <f>131/99.8*104.7</f>
        <v>137.43186372745492</v>
      </c>
      <c r="F201" s="200">
        <f>+F$173*(108/103.6)</f>
        <v>109.48801892751557</v>
      </c>
      <c r="G201" s="161">
        <v>0.39</v>
      </c>
      <c r="H201" s="181">
        <f t="shared" si="33"/>
        <v>117.52325873951575</v>
      </c>
    </row>
    <row r="202" spans="1:27" ht="15.75" hidden="1" thickBot="1" x14ac:dyDescent="0.25">
      <c r="A202" s="32">
        <f t="shared" si="34"/>
        <v>2021</v>
      </c>
      <c r="B202" s="33" t="s">
        <v>31</v>
      </c>
      <c r="C202" s="157">
        <f>142.6*1.0101</f>
        <v>144.04025999999999</v>
      </c>
      <c r="D202" s="217">
        <f>130.4/90.3*108.9</f>
        <v>157.25980066445183</v>
      </c>
      <c r="E202" s="217">
        <f>131/99.8*104.9</f>
        <v>137.69438877755513</v>
      </c>
      <c r="F202" s="222">
        <f>+F$173*(108.2/103.6)</f>
        <v>109.69077451812207</v>
      </c>
      <c r="G202" s="159">
        <v>0.48</v>
      </c>
      <c r="H202" s="66">
        <f t="shared" si="33"/>
        <v>118.60971933724922</v>
      </c>
      <c r="K202" s="207"/>
    </row>
    <row r="203" spans="1:27" ht="15.75" hidden="1" thickBot="1" x14ac:dyDescent="0.25">
      <c r="A203" s="32">
        <f t="shared" si="34"/>
        <v>2021</v>
      </c>
      <c r="B203" s="33" t="s">
        <v>14</v>
      </c>
      <c r="C203" s="157">
        <f>142.6*1.0101</f>
        <v>144.04025999999999</v>
      </c>
      <c r="D203" s="217">
        <f>130.4/90.3*111.6</f>
        <v>161.15880398671095</v>
      </c>
      <c r="E203" s="217">
        <f>131/99.8*105</f>
        <v>137.82565130260522</v>
      </c>
      <c r="F203" s="198">
        <f>+F$173*(108.4/103.6)</f>
        <v>109.8935301087286</v>
      </c>
      <c r="G203" s="159">
        <v>0.42</v>
      </c>
      <c r="H203" s="66">
        <f t="shared" si="33"/>
        <v>119.02629947809577</v>
      </c>
    </row>
    <row r="204" spans="1:27" ht="15.75" hidden="1" thickBot="1" x14ac:dyDescent="0.25">
      <c r="A204" s="63">
        <f t="shared" si="34"/>
        <v>2021</v>
      </c>
      <c r="B204" s="64" t="s">
        <v>15</v>
      </c>
      <c r="C204" s="160">
        <f>142.6*1.0101</f>
        <v>144.04025999999999</v>
      </c>
      <c r="D204" s="202">
        <f>130.4/90.3*113.9</f>
        <v>164.48017718715394</v>
      </c>
      <c r="E204" s="202">
        <f>131/99.8*105.7</f>
        <v>138.74448897795594</v>
      </c>
      <c r="F204" s="200">
        <f>+F$173*(108.5/103.6)</f>
        <v>109.99490790403185</v>
      </c>
      <c r="G204" s="161">
        <v>0.37</v>
      </c>
      <c r="H204" s="181">
        <f t="shared" si="33"/>
        <v>119.4318469042836</v>
      </c>
    </row>
    <row r="205" spans="1:27" ht="15.75" hidden="1" thickBot="1" x14ac:dyDescent="0.25">
      <c r="A205" s="32">
        <f t="shared" si="34"/>
        <v>2021</v>
      </c>
      <c r="B205" s="33" t="s">
        <v>16</v>
      </c>
      <c r="C205" s="157">
        <f>144.1*1.0101</f>
        <v>145.55540999999999</v>
      </c>
      <c r="D205" s="217">
        <f>130.4/90.3*113.5</f>
        <v>163.90254706533776</v>
      </c>
      <c r="E205" s="217">
        <f>131/99.8*105.5</f>
        <v>138.48196392785573</v>
      </c>
      <c r="F205" s="222">
        <f>+F$173*(108.7/103.6)</f>
        <v>110.19766349463836</v>
      </c>
      <c r="G205" s="159">
        <v>0.4</v>
      </c>
      <c r="H205" s="66">
        <f t="shared" si="33"/>
        <v>120.23852615706711</v>
      </c>
    </row>
    <row r="206" spans="1:27" ht="15.75" hidden="1" thickBot="1" x14ac:dyDescent="0.25">
      <c r="A206" s="32">
        <f t="shared" si="34"/>
        <v>2021</v>
      </c>
      <c r="B206" s="33" t="s">
        <v>17</v>
      </c>
      <c r="C206" s="157">
        <f>144.1*1.0101</f>
        <v>145.55540999999999</v>
      </c>
      <c r="D206" s="217">
        <f>130.4/90.3*116.3</f>
        <v>167.94595791805094</v>
      </c>
      <c r="E206" s="217">
        <f>131/99.8*105.8</f>
        <v>138.87575150300603</v>
      </c>
      <c r="F206" s="198">
        <f>+F$173*(109.3/103.6)</f>
        <v>110.80593026645788</v>
      </c>
      <c r="G206" s="159">
        <v>0.45</v>
      </c>
      <c r="H206" s="66">
        <f t="shared" si="33"/>
        <v>120.86643200403309</v>
      </c>
    </row>
    <row r="207" spans="1:27" ht="15.75" hidden="1" thickBot="1" x14ac:dyDescent="0.25">
      <c r="A207" s="72">
        <f t="shared" si="34"/>
        <v>2021</v>
      </c>
      <c r="B207" s="73" t="s">
        <v>18</v>
      </c>
      <c r="C207" s="162">
        <f>144.1*1.0101</f>
        <v>145.55540999999999</v>
      </c>
      <c r="D207" s="218">
        <f>130.4/90.3*126.9</f>
        <v>183.25315614617941</v>
      </c>
      <c r="E207" s="218">
        <f>131/99.8*106.8</f>
        <v>140.18837675350701</v>
      </c>
      <c r="F207" s="199">
        <f>+F$173*(109.8/103.6)</f>
        <v>111.31281924297416</v>
      </c>
      <c r="G207" s="163">
        <v>0.49</v>
      </c>
      <c r="H207" s="137">
        <f t="shared" si="33"/>
        <v>122.87693223945699</v>
      </c>
    </row>
    <row r="208" spans="1:27" ht="15.75" hidden="1" thickBot="1" x14ac:dyDescent="0.25">
      <c r="A208" s="74">
        <v>2022</v>
      </c>
      <c r="B208" s="187" t="s">
        <v>8</v>
      </c>
      <c r="C208" s="157">
        <f>144.9*1.0101</f>
        <v>146.36349000000001</v>
      </c>
      <c r="D208" s="217">
        <f>130.4/90.3*127.8</f>
        <v>184.55282392026578</v>
      </c>
      <c r="E208" s="217">
        <f>131/99.8*107.1</f>
        <v>140.58216432865731</v>
      </c>
      <c r="F208" s="198">
        <f>+F$173*(109.7/103.6)</f>
        <v>111.21144144767091</v>
      </c>
      <c r="G208" s="159">
        <v>0.42</v>
      </c>
      <c r="H208" s="66">
        <f t="shared" ref="H208:H219" si="35">100+((C208-$C$40)/$C$40*100*$C$2)+((D208-$D$40)/$D$40*100*$D$2)+((E208-$E$40)/$E$40*100*$E$2)+((F208-$F$40)/$F$40*100*$F$2)+((G208-$G$40)/$G$40*100*$G$2)</f>
        <v>123.40793614752444</v>
      </c>
      <c r="I208" s="13"/>
      <c r="W208" s="67"/>
      <c r="X208" s="67"/>
      <c r="Y208" s="67"/>
      <c r="Z208" s="67"/>
      <c r="AA208" s="67"/>
    </row>
    <row r="209" spans="1:27" ht="15.75" hidden="1" thickBot="1" x14ac:dyDescent="0.25">
      <c r="A209" s="32">
        <f>A208</f>
        <v>2022</v>
      </c>
      <c r="B209" s="187" t="s">
        <v>9</v>
      </c>
      <c r="C209" s="157">
        <f>144.9*1.0101</f>
        <v>146.36349000000001</v>
      </c>
      <c r="D209" s="217">
        <f>130.4/90.3*123.5</f>
        <v>178.34330011074198</v>
      </c>
      <c r="E209" s="217">
        <f>131/99.8*106.6</f>
        <v>139.92585170340681</v>
      </c>
      <c r="F209" s="198">
        <f>+F$173*(110.3/103.6)</f>
        <v>111.81970821949042</v>
      </c>
      <c r="G209" s="159">
        <v>0.54</v>
      </c>
      <c r="H209" s="66">
        <f t="shared" si="35"/>
        <v>122.83057063615095</v>
      </c>
      <c r="W209" s="67"/>
      <c r="X209" s="67"/>
      <c r="Y209" s="67"/>
      <c r="Z209" s="67"/>
      <c r="AA209" s="67"/>
    </row>
    <row r="210" spans="1:27" ht="15.75" hidden="1" thickBot="1" x14ac:dyDescent="0.25">
      <c r="A210" s="63">
        <f t="shared" ref="A210:A219" si="36">A209</f>
        <v>2022</v>
      </c>
      <c r="B210" s="64" t="s">
        <v>10</v>
      </c>
      <c r="C210" s="160">
        <f>144.9*1.0101</f>
        <v>146.36349000000001</v>
      </c>
      <c r="D210" s="202">
        <f>130.4/90.3*127.7</f>
        <v>184.40841638981175</v>
      </c>
      <c r="E210" s="202">
        <f>131/99.8*108.1</f>
        <v>141.89478957915833</v>
      </c>
      <c r="F210" s="200">
        <f>+F$173*(113.2/103.6)</f>
        <v>114.75966428328483</v>
      </c>
      <c r="G210" s="161">
        <v>0.7</v>
      </c>
      <c r="H210" s="181">
        <f t="shared" si="35"/>
        <v>124.16274130176751</v>
      </c>
      <c r="W210" s="67"/>
      <c r="X210" s="67"/>
      <c r="Y210" s="67"/>
      <c r="Z210" s="67"/>
      <c r="AA210" s="67"/>
    </row>
    <row r="211" spans="1:27" ht="15.75" hidden="1" thickBot="1" x14ac:dyDescent="0.25">
      <c r="A211" s="70">
        <f t="shared" si="36"/>
        <v>2022</v>
      </c>
      <c r="B211" s="71" t="s">
        <v>11</v>
      </c>
      <c r="C211" s="157">
        <f>145.2*1.0101</f>
        <v>146.66651999999999</v>
      </c>
      <c r="D211" s="217">
        <f>130.4/90.3*133.4</f>
        <v>192.63964562569214</v>
      </c>
      <c r="E211" s="217">
        <f>131/99.8*109.2</f>
        <v>143.33867735470943</v>
      </c>
      <c r="F211" s="222">
        <f>+F$173*(113.6/103.6)</f>
        <v>115.16517546449785</v>
      </c>
      <c r="G211" s="159">
        <v>1.04</v>
      </c>
      <c r="H211" s="66">
        <f t="shared" si="35"/>
        <v>125.87533793282556</v>
      </c>
      <c r="W211" s="67"/>
      <c r="X211" s="67"/>
      <c r="Y211" s="67"/>
      <c r="Z211" s="67"/>
      <c r="AA211" s="67"/>
    </row>
    <row r="212" spans="1:27" ht="15.75" hidden="1" thickBot="1" x14ac:dyDescent="0.25">
      <c r="A212" s="32">
        <f t="shared" si="36"/>
        <v>2022</v>
      </c>
      <c r="B212" s="33" t="s">
        <v>12</v>
      </c>
      <c r="C212" s="157">
        <f>145.2*1.0101</f>
        <v>146.66651999999999</v>
      </c>
      <c r="D212" s="217">
        <f>130.4/90.3*156.4</f>
        <v>225.85337763012183</v>
      </c>
      <c r="E212" s="217">
        <f>131/99.8*109.9</f>
        <v>144.25751503006015</v>
      </c>
      <c r="F212" s="198">
        <f>+F$173*(113.8/103.6)</f>
        <v>115.36793105510438</v>
      </c>
      <c r="G212" s="159">
        <v>1.24</v>
      </c>
      <c r="H212" s="66">
        <f t="shared" si="35"/>
        <v>130.16336141122974</v>
      </c>
      <c r="W212" s="67"/>
      <c r="X212" s="67"/>
      <c r="Y212" s="67"/>
      <c r="Z212" s="67"/>
      <c r="AA212" s="67"/>
    </row>
    <row r="213" spans="1:27" ht="15.75" hidden="1" thickBot="1" x14ac:dyDescent="0.25">
      <c r="A213" s="72">
        <f t="shared" si="36"/>
        <v>2022</v>
      </c>
      <c r="B213" s="73" t="s">
        <v>13</v>
      </c>
      <c r="C213" s="162">
        <f>145.2*1.0101</f>
        <v>146.66651999999999</v>
      </c>
      <c r="D213" s="218">
        <f>130.4/90.3*155.2</f>
        <v>224.1204872646733</v>
      </c>
      <c r="E213" s="218">
        <f>131/99.8*111.7</f>
        <v>146.62024048096194</v>
      </c>
      <c r="F213" s="199">
        <f>+F$173*(115.9/103.6)</f>
        <v>117.49686475647272</v>
      </c>
      <c r="G213" s="163">
        <v>1.58</v>
      </c>
      <c r="H213" s="137">
        <f t="shared" si="35"/>
        <v>130.74571637608227</v>
      </c>
    </row>
    <row r="214" spans="1:27" ht="15.75" hidden="1" thickBot="1" x14ac:dyDescent="0.25">
      <c r="A214" s="32">
        <f t="shared" si="36"/>
        <v>2022</v>
      </c>
      <c r="B214" s="33" t="s">
        <v>31</v>
      </c>
      <c r="C214" s="157">
        <f>145.9*1.0101</f>
        <v>147.37359000000001</v>
      </c>
      <c r="D214" s="217">
        <f>130.4/90.3*163</f>
        <v>235.38427464008859</v>
      </c>
      <c r="E214" s="217">
        <f>131/99.8*112.7</f>
        <v>147.93286573146295</v>
      </c>
      <c r="F214" s="222">
        <f>+F$173*(116.1/103.6)</f>
        <v>117.69962034707922</v>
      </c>
      <c r="G214" s="159">
        <v>1.84</v>
      </c>
      <c r="H214" s="66">
        <f t="shared" si="35"/>
        <v>132.91404464500877</v>
      </c>
      <c r="K214" s="207"/>
    </row>
    <row r="215" spans="1:27" ht="15.75" hidden="1" thickBot="1" x14ac:dyDescent="0.25">
      <c r="A215" s="32">
        <f t="shared" si="36"/>
        <v>2022</v>
      </c>
      <c r="B215" s="187" t="s">
        <v>14</v>
      </c>
      <c r="C215" s="157">
        <f>145.9*1.0101</f>
        <v>147.37359000000001</v>
      </c>
      <c r="D215" s="217">
        <f>130.4/90.3*180.2</f>
        <v>260.22236987818383</v>
      </c>
      <c r="E215" s="217">
        <f>131/99.8*113.6</f>
        <v>149.11422845691382</v>
      </c>
      <c r="F215" s="198">
        <f>+F$173*(116.6/103.6)</f>
        <v>118.20650932359551</v>
      </c>
      <c r="G215" s="159">
        <v>2.0699999999999998</v>
      </c>
      <c r="H215" s="66">
        <f t="shared" si="35"/>
        <v>136.28907741092232</v>
      </c>
      <c r="W215" s="67"/>
      <c r="X215" s="67"/>
      <c r="Y215" s="67"/>
      <c r="Z215" s="67"/>
      <c r="AA215" s="67"/>
    </row>
    <row r="216" spans="1:27" ht="15.75" hidden="1" thickBot="1" x14ac:dyDescent="0.25">
      <c r="A216" s="63">
        <f t="shared" si="36"/>
        <v>2022</v>
      </c>
      <c r="B216" s="64" t="s">
        <v>15</v>
      </c>
      <c r="C216" s="160">
        <f>145.9*1.0101</f>
        <v>147.37359000000001</v>
      </c>
      <c r="D216" s="202">
        <f>130.4/90.3*172.1</f>
        <v>248.52535991140641</v>
      </c>
      <c r="E216" s="202">
        <f>131/99.8*114.9</f>
        <v>150.82064128256513</v>
      </c>
      <c r="F216" s="200">
        <f>+F$173*(117.7/103.6)</f>
        <v>119.32166507193132</v>
      </c>
      <c r="G216" s="161">
        <v>1.9</v>
      </c>
      <c r="H216" s="181">
        <f t="shared" si="35"/>
        <v>134.90429434343835</v>
      </c>
      <c r="W216" s="67"/>
      <c r="X216" s="67"/>
      <c r="Y216" s="67"/>
      <c r="Z216" s="67"/>
      <c r="AA216" s="67"/>
    </row>
    <row r="217" spans="1:27" ht="15.75" hidden="1" thickBot="1" x14ac:dyDescent="0.25">
      <c r="A217" s="32">
        <f t="shared" si="36"/>
        <v>2022</v>
      </c>
      <c r="B217" s="71" t="s">
        <v>16</v>
      </c>
      <c r="C217" s="157">
        <f>147.2*1.0101</f>
        <v>148.68671999999998</v>
      </c>
      <c r="D217" s="217">
        <f>130.4/90.3*159.8</f>
        <v>230.76323366555928</v>
      </c>
      <c r="E217" s="217">
        <f>131/99.8*114.9</f>
        <v>150.82064128256513</v>
      </c>
      <c r="F217" s="222">
        <f>+F$173*(118.4/103.6)</f>
        <v>120.03130963905411</v>
      </c>
      <c r="G217" s="159">
        <v>2.52</v>
      </c>
      <c r="H217" s="66">
        <f t="shared" si="35"/>
        <v>134.36089140688597</v>
      </c>
      <c r="W217" s="67"/>
      <c r="X217" s="67"/>
      <c r="Y217" s="67"/>
      <c r="Z217" s="67"/>
      <c r="AA217" s="67"/>
    </row>
    <row r="218" spans="1:27" ht="15.75" hidden="1" thickBot="1" x14ac:dyDescent="0.25">
      <c r="A218" s="32">
        <f t="shared" si="36"/>
        <v>2022</v>
      </c>
      <c r="B218" s="33" t="s">
        <v>17</v>
      </c>
      <c r="C218" s="157">
        <f>147.2*1.0101</f>
        <v>148.68671999999998</v>
      </c>
      <c r="D218" s="217">
        <f>130.4/90.3*160.9</f>
        <v>232.35171650055372</v>
      </c>
      <c r="E218" s="217">
        <f>131/99.8*116.4</f>
        <v>152.78957915831666</v>
      </c>
      <c r="F218" s="198">
        <f>+F$173*(118.5/103.6)</f>
        <v>120.13268743435736</v>
      </c>
      <c r="G218" s="159">
        <v>3.22</v>
      </c>
      <c r="H218" s="66">
        <f>100+((C218-$C$40)/$C$40*100*$C$2)+((D218-$D$40)/$D$40*100*$D$2)+((E218-$E$40)/$E$40*100*$E$2)+((F218-$F$40)/$F$40*100*$F$2)+((G218-$G$40)/$G$40*100*$G$2)</f>
        <v>135.57627280042649</v>
      </c>
      <c r="W218" s="67"/>
      <c r="X218" s="67"/>
      <c r="Y218" s="67"/>
      <c r="Z218" s="67"/>
      <c r="AA218" s="67"/>
    </row>
    <row r="219" spans="1:27" ht="17.25" hidden="1" customHeight="1" thickBot="1" x14ac:dyDescent="0.25">
      <c r="A219" s="72">
        <f t="shared" si="36"/>
        <v>2022</v>
      </c>
      <c r="B219" s="73" t="s">
        <v>18</v>
      </c>
      <c r="C219" s="162">
        <f>147.2*1.0101</f>
        <v>148.68671999999998</v>
      </c>
      <c r="D219" s="218">
        <f>130.4/90.3*174.6</f>
        <v>252.13554817275747</v>
      </c>
      <c r="E219" s="218">
        <f>131/99.8*117.6</f>
        <v>154.36472945891785</v>
      </c>
      <c r="F219" s="199">
        <f>+F$173*(120.6/103.6)</f>
        <v>122.2616211357257</v>
      </c>
      <c r="G219" s="163">
        <v>3.06</v>
      </c>
      <c r="H219" s="137">
        <f t="shared" si="35"/>
        <v>138.03666081619983</v>
      </c>
    </row>
    <row r="220" spans="1:27" ht="15" x14ac:dyDescent="0.2">
      <c r="A220" s="74">
        <v>2023</v>
      </c>
      <c r="B220" s="88" t="s">
        <v>8</v>
      </c>
      <c r="C220" s="234">
        <f>148.2*1.0101</f>
        <v>149.69681999999997</v>
      </c>
      <c r="D220" s="235">
        <f>130.4/90.3*161.3</f>
        <v>232.92934662236991</v>
      </c>
      <c r="E220" s="235">
        <f>131/99.8*116.6</f>
        <v>153.05210420841684</v>
      </c>
      <c r="F220" s="236">
        <f>+F$173*(120.9/103.6)</f>
        <v>122.56575452163548</v>
      </c>
      <c r="G220" s="237">
        <v>2.86</v>
      </c>
      <c r="H220" s="238">
        <f t="shared" ref="H220:H225" si="37">100+((C220-$C$40)/$C$40*100*$C$2)+((D220-$D$40)/$D$40*100*$D$2)+((E220-$E$40)/$E$40*100*$E$2)+((F220-$F$40)/$F$40*100*$F$2)+((G220-$G$40)/$G$40*100*$G$2)</f>
        <v>135.99397395594627</v>
      </c>
      <c r="L220" s="201"/>
      <c r="V220" s="67"/>
      <c r="W220" s="67"/>
      <c r="X220" s="67"/>
      <c r="Y220" s="67"/>
      <c r="Z220" s="67"/>
    </row>
    <row r="221" spans="1:27" ht="15" x14ac:dyDescent="0.2">
      <c r="A221" s="32">
        <f>A220</f>
        <v>2023</v>
      </c>
      <c r="B221" s="187" t="s">
        <v>9</v>
      </c>
      <c r="C221" s="157">
        <f>148.2*1.0101</f>
        <v>149.69681999999997</v>
      </c>
      <c r="D221" s="217">
        <f>130.4/90.3*144.7</f>
        <v>208.95769656699889</v>
      </c>
      <c r="E221" s="217">
        <f>131/99.8*115.9</f>
        <v>152.13326653306615</v>
      </c>
      <c r="F221" s="198">
        <f>+F$173*(121/103.6)</f>
        <v>122.66713231693873</v>
      </c>
      <c r="G221" s="159">
        <v>3.33</v>
      </c>
      <c r="H221" s="66">
        <f t="shared" si="37"/>
        <v>133.67715512445682</v>
      </c>
      <c r="L221" s="201"/>
      <c r="V221" s="67"/>
      <c r="W221" s="67"/>
      <c r="X221" s="67"/>
      <c r="Y221" s="67"/>
      <c r="Z221" s="67"/>
    </row>
    <row r="222" spans="1:27" ht="15" x14ac:dyDescent="0.2">
      <c r="A222" s="32">
        <f t="shared" ref="A222:A231" si="38">A221</f>
        <v>2023</v>
      </c>
      <c r="B222" s="64" t="s">
        <v>10</v>
      </c>
      <c r="C222" s="160">
        <f>148.2*1.0101</f>
        <v>149.69681999999997</v>
      </c>
      <c r="D222" s="202">
        <f>130.4/90.3*150.8</f>
        <v>217.7665559246955</v>
      </c>
      <c r="E222" s="202">
        <f>131/99.8*116.4</f>
        <v>152.78957915831666</v>
      </c>
      <c r="F222" s="200">
        <f>+F$173*(122.7/103.6)</f>
        <v>124.39055483709409</v>
      </c>
      <c r="G222" s="161">
        <v>3.26</v>
      </c>
      <c r="H222" s="181">
        <f t="shared" si="37"/>
        <v>134.84297792753796</v>
      </c>
      <c r="L222" s="201"/>
    </row>
    <row r="223" spans="1:27" ht="15" x14ac:dyDescent="0.2">
      <c r="A223" s="32">
        <f t="shared" si="38"/>
        <v>2023</v>
      </c>
      <c r="B223" s="71" t="s">
        <v>11</v>
      </c>
      <c r="C223" s="157">
        <f>149.4*1.0101</f>
        <v>150.90894</v>
      </c>
      <c r="D223" s="217">
        <f>130.4/90.3*144.3</f>
        <v>208.38006644518276</v>
      </c>
      <c r="E223" s="217">
        <f>131/99.8*117.5</f>
        <v>154.23346693386776</v>
      </c>
      <c r="F223" s="198">
        <f>+F$173*(122.3/103.6)</f>
        <v>123.98504365588106</v>
      </c>
      <c r="G223" s="159">
        <v>3.58</v>
      </c>
      <c r="H223" s="66">
        <f t="shared" si="37"/>
        <v>134.86015752764487</v>
      </c>
      <c r="L223" s="201"/>
    </row>
    <row r="224" spans="1:27" ht="15" x14ac:dyDescent="0.2">
      <c r="A224" s="32">
        <f t="shared" si="38"/>
        <v>2023</v>
      </c>
      <c r="B224" s="33" t="s">
        <v>12</v>
      </c>
      <c r="C224" s="157">
        <f>149.4*1.0101</f>
        <v>150.90894</v>
      </c>
      <c r="D224" s="217">
        <f>130.4/90.3*141.1</f>
        <v>203.75902547065337</v>
      </c>
      <c r="E224" s="217">
        <f>131/99.8*117.3</f>
        <v>153.97094188376755</v>
      </c>
      <c r="F224" s="198">
        <f>+F$173*(122.9/103.6)</f>
        <v>124.59331042770057</v>
      </c>
      <c r="G224" s="159">
        <v>3.32</v>
      </c>
      <c r="H224" s="66">
        <f t="shared" si="37"/>
        <v>134.02118502417233</v>
      </c>
      <c r="L224" s="201"/>
    </row>
    <row r="225" spans="1:16" ht="15.75" thickBot="1" x14ac:dyDescent="0.25">
      <c r="A225" s="72">
        <f t="shared" si="38"/>
        <v>2023</v>
      </c>
      <c r="B225" s="73" t="s">
        <v>13</v>
      </c>
      <c r="C225" s="162">
        <f>149.4*1.0101</f>
        <v>150.90894</v>
      </c>
      <c r="D225" s="218">
        <f>130.4/90.3*135.6</f>
        <v>195.81661129568107</v>
      </c>
      <c r="E225" s="218">
        <f>131/99.8*117.6</f>
        <v>154.36472945891785</v>
      </c>
      <c r="F225" s="199">
        <f>+F$173*(123/103.6)</f>
        <v>124.69468822300382</v>
      </c>
      <c r="G225" s="163">
        <v>3.35</v>
      </c>
      <c r="H225" s="137">
        <f t="shared" si="37"/>
        <v>133.15006720616859</v>
      </c>
      <c r="L225" s="201"/>
    </row>
    <row r="226" spans="1:16" ht="15" x14ac:dyDescent="0.2">
      <c r="A226" s="32">
        <f t="shared" si="38"/>
        <v>2023</v>
      </c>
      <c r="B226" s="75" t="s">
        <v>31</v>
      </c>
      <c r="C226" s="157">
        <f>150.8*1.0101</f>
        <v>152.32308</v>
      </c>
      <c r="D226" s="217">
        <f>130.4/90.3*127.9</f>
        <v>184.69723145071984</v>
      </c>
      <c r="E226" s="217">
        <f>131/99.8*116</f>
        <v>152.26452905811624</v>
      </c>
      <c r="F226" s="222">
        <f>+F$173*(122.7/103.6)</f>
        <v>124.39055483709409</v>
      </c>
      <c r="G226" s="159">
        <v>3.45</v>
      </c>
      <c r="H226" s="66">
        <f t="shared" ref="H226:H232" si="39">100+((C226-$C$40)/$C$40*100*$C$2)+((D226-$D$40)/$D$40*100*$D$2)+((E226-$E$40)/$E$40*100*$E$2)+((F226-$F$40)/$F$40*100*$F$2)+((G226-$G$40)/$G$40*100*$G$2)</f>
        <v>132.55975256527307</v>
      </c>
      <c r="L226" s="201"/>
    </row>
    <row r="227" spans="1:16" ht="15" x14ac:dyDescent="0.2">
      <c r="A227" s="32">
        <f t="shared" si="38"/>
        <v>2023</v>
      </c>
      <c r="B227" s="33" t="s">
        <v>14</v>
      </c>
      <c r="C227" s="157">
        <f>150.8*1.0101</f>
        <v>152.32308</v>
      </c>
      <c r="D227" s="217">
        <f>130.4/90.3*131</f>
        <v>189.17386489479514</v>
      </c>
      <c r="E227" s="217">
        <f>131/99.8*116.4</f>
        <v>152.78957915831666</v>
      </c>
      <c r="F227" s="198">
        <f>+F$173*(123.3/103.6)</f>
        <v>124.9988216089136</v>
      </c>
      <c r="G227" s="159">
        <v>3.69</v>
      </c>
      <c r="H227" s="66">
        <f t="shared" si="39"/>
        <v>133.487318017577</v>
      </c>
      <c r="L227" s="201"/>
    </row>
    <row r="228" spans="1:16" ht="15" x14ac:dyDescent="0.2">
      <c r="A228" s="32">
        <f t="shared" si="38"/>
        <v>2023</v>
      </c>
      <c r="B228" s="64" t="s">
        <v>15</v>
      </c>
      <c r="C228" s="160">
        <f>150.8*1.0101</f>
        <v>152.32308</v>
      </c>
      <c r="D228" s="202">
        <f>130.4/90.3*132.4</f>
        <v>191.19557032115173</v>
      </c>
      <c r="E228" s="202">
        <f>131/99.8*118.5</f>
        <v>155.54609218436875</v>
      </c>
      <c r="F228" s="200">
        <f>+F$173*(124.6/103.6)</f>
        <v>126.31673294785591</v>
      </c>
      <c r="G228" s="161">
        <v>3.67</v>
      </c>
      <c r="H228" s="181">
        <f t="shared" si="39"/>
        <v>134.01592181249458</v>
      </c>
      <c r="L228" s="201"/>
    </row>
    <row r="229" spans="1:16" ht="15" x14ac:dyDescent="0.2">
      <c r="A229" s="32">
        <f t="shared" si="38"/>
        <v>2023</v>
      </c>
      <c r="B229" s="71" t="s">
        <v>16</v>
      </c>
      <c r="C229" s="157">
        <f>151.6*1.0101</f>
        <v>153.13115999999999</v>
      </c>
      <c r="D229" s="217">
        <f>130.4/90.3*145</f>
        <v>209.39091915836102</v>
      </c>
      <c r="E229" s="217">
        <f>131/99.8*117.7</f>
        <v>154.49599198396794</v>
      </c>
      <c r="F229" s="198">
        <f>+F$173*(124.3/103.6)</f>
        <v>126.01259956194616</v>
      </c>
      <c r="G229" s="159">
        <v>3.67</v>
      </c>
      <c r="H229" s="66">
        <f t="shared" si="39"/>
        <v>136.52756409472568</v>
      </c>
      <c r="L229" s="201"/>
    </row>
    <row r="230" spans="1:16" ht="15" x14ac:dyDescent="0.2">
      <c r="A230" s="32">
        <f t="shared" si="38"/>
        <v>2023</v>
      </c>
      <c r="B230" s="33" t="s">
        <v>17</v>
      </c>
      <c r="C230" s="157">
        <f>151.6*1.0101</f>
        <v>153.13115999999999</v>
      </c>
      <c r="D230" s="217">
        <f>130.4/90.3*150.3</f>
        <v>217.04451827242528</v>
      </c>
      <c r="E230" s="217">
        <f>131/99.8*117.4</f>
        <v>154.10220440881764</v>
      </c>
      <c r="F230" s="198">
        <f>+F$173*(124/103.6)</f>
        <v>125.70846617603638</v>
      </c>
      <c r="G230" s="159">
        <v>3.81</v>
      </c>
      <c r="H230" s="66">
        <f t="shared" si="39"/>
        <v>137.5593426452115</v>
      </c>
      <c r="L230" s="201"/>
    </row>
    <row r="231" spans="1:16" ht="15.75" thickBot="1" x14ac:dyDescent="0.25">
      <c r="A231" s="72">
        <f t="shared" si="38"/>
        <v>2023</v>
      </c>
      <c r="B231" s="73" t="s">
        <v>18</v>
      </c>
      <c r="C231" s="162">
        <f>151.6*1.0101</f>
        <v>153.13115999999999</v>
      </c>
      <c r="D231" s="218">
        <f>130.4/90.3*149.3</f>
        <v>215.60044296788485</v>
      </c>
      <c r="E231" s="218">
        <f>131/99.8*117.7</f>
        <v>154.49599198396794</v>
      </c>
      <c r="F231" s="199">
        <f>+F$173*(123.9/103.6)</f>
        <v>125.60708838073315</v>
      </c>
      <c r="G231" s="163">
        <v>3.78</v>
      </c>
      <c r="H231" s="137">
        <f t="shared" si="39"/>
        <v>137.3675718992248</v>
      </c>
    </row>
    <row r="232" spans="1:16" ht="15" x14ac:dyDescent="0.2">
      <c r="A232" s="74">
        <v>2024</v>
      </c>
      <c r="B232" s="187" t="s">
        <v>8</v>
      </c>
      <c r="C232" s="234">
        <f>153.5*1.0101</f>
        <v>155.05035000000001</v>
      </c>
      <c r="D232" s="235">
        <f>130.4/90.3*139.8</f>
        <v>201.88172757475087</v>
      </c>
      <c r="E232" s="235">
        <f>131/99.8*117.3</f>
        <v>153.97094188376755</v>
      </c>
      <c r="F232" s="236">
        <f>+F$173*(123.5/103.6)</f>
        <v>125.20157719952012</v>
      </c>
      <c r="G232" s="237">
        <v>3.51</v>
      </c>
      <c r="H232" s="238">
        <f t="shared" si="39"/>
        <v>136.3811417137959</v>
      </c>
      <c r="L232" s="242"/>
    </row>
    <row r="233" spans="1:16" ht="15" x14ac:dyDescent="0.2">
      <c r="A233" s="32">
        <f>A232</f>
        <v>2024</v>
      </c>
      <c r="B233" s="187" t="s">
        <v>9</v>
      </c>
      <c r="C233" s="157">
        <f>153.5*1.0101</f>
        <v>155.05035000000001</v>
      </c>
      <c r="D233" s="217">
        <f>130.4/90.3*134.9</f>
        <v>194.80575858250279</v>
      </c>
      <c r="E233" s="217">
        <f>131/99.8*116.7</f>
        <v>153.18336673346695</v>
      </c>
      <c r="F233" s="198">
        <f>+F$173*(123.3/103.6)</f>
        <v>124.9988216089136</v>
      </c>
      <c r="G233" s="159">
        <v>3.18</v>
      </c>
      <c r="H233" s="66">
        <f t="shared" ref="H233:H238" si="40">100+((C233-$C$40)/$C$40*100*$C$2)+((D233-$D$40)/$D$40*100*$D$2)+((E233-$E$40)/$E$40*100*$E$2)+((F233-$F$40)/$F$40*100*$F$2)+((G233-$G$40)/$G$40*100*$G$2)</f>
        <v>135.05032645327108</v>
      </c>
      <c r="L233" s="242"/>
    </row>
    <row r="234" spans="1:16" ht="15" x14ac:dyDescent="0.2">
      <c r="A234" s="32">
        <f t="shared" ref="A234:A243" si="41">A233</f>
        <v>2024</v>
      </c>
      <c r="B234" s="64" t="s">
        <v>10</v>
      </c>
      <c r="C234" s="160">
        <f>153.5*1.0101</f>
        <v>155.05035000000001</v>
      </c>
      <c r="D234" s="202">
        <f>130.4/90.3*141.3</f>
        <v>204.04784053156149</v>
      </c>
      <c r="E234" s="202">
        <f>131/99.8*117.8</f>
        <v>154.62725450901803</v>
      </c>
      <c r="F234" s="200">
        <f>+F$173*(122.3/103.6)</f>
        <v>123.98504365588106</v>
      </c>
      <c r="G234" s="161">
        <v>3.23</v>
      </c>
      <c r="H234" s="181">
        <f t="shared" si="40"/>
        <v>136.21951192820978</v>
      </c>
      <c r="L234" s="242"/>
    </row>
    <row r="235" spans="1:16" ht="15" x14ac:dyDescent="0.2">
      <c r="A235" s="32">
        <f t="shared" si="41"/>
        <v>2024</v>
      </c>
      <c r="B235" s="71" t="s">
        <v>11</v>
      </c>
      <c r="C235" s="157">
        <f>154.8*1.0101</f>
        <v>156.36348000000001</v>
      </c>
      <c r="D235" s="217">
        <f>130.4/90.3*146.3</f>
        <v>211.2682170542636</v>
      </c>
      <c r="E235" s="217">
        <f>131/99.8*118.4</f>
        <v>155.41482965931866</v>
      </c>
      <c r="F235" s="198">
        <f>+F$173*(122.6/103.6)</f>
        <v>124.28917704179081</v>
      </c>
      <c r="G235" s="159">
        <v>3.38</v>
      </c>
      <c r="H235" s="66">
        <f t="shared" si="40"/>
        <v>138.07598615499302</v>
      </c>
      <c r="L235" s="242"/>
    </row>
    <row r="236" spans="1:16" ht="15" x14ac:dyDescent="0.2">
      <c r="A236" s="32">
        <f t="shared" si="41"/>
        <v>2024</v>
      </c>
      <c r="B236" s="33" t="s">
        <v>12</v>
      </c>
      <c r="C236" s="157">
        <f>154.8*1.0101</f>
        <v>156.36348000000001</v>
      </c>
      <c r="D236" s="217">
        <f>130.4/90.3*140.7</f>
        <v>203.18139534883721</v>
      </c>
      <c r="E236" s="217">
        <f>131/99.8*118.4</f>
        <v>155.41482965931866</v>
      </c>
      <c r="F236" s="198">
        <f>+F$173*(122.2/103.6)</f>
        <v>123.88366586057781</v>
      </c>
      <c r="G236" s="159">
        <v>3.39</v>
      </c>
      <c r="H236" s="66">
        <f t="shared" si="40"/>
        <v>137.0882619013332</v>
      </c>
      <c r="L236" s="242"/>
    </row>
    <row r="237" spans="1:16" ht="15" x14ac:dyDescent="0.2">
      <c r="A237" s="32">
        <f t="shared" si="41"/>
        <v>2024</v>
      </c>
      <c r="B237" s="64" t="s">
        <v>13</v>
      </c>
      <c r="C237" s="160">
        <f>154.8*1.0101</f>
        <v>156.36348000000001</v>
      </c>
      <c r="D237" s="202">
        <f>130.4/90.3*142.1</f>
        <v>205.2031007751938</v>
      </c>
      <c r="E237" s="202">
        <f>131/99.8*118.5</f>
        <v>155.54609218436875</v>
      </c>
      <c r="F237" s="200">
        <f>+F$173*(122.7/103.6)</f>
        <v>124.39055483709409</v>
      </c>
      <c r="G237" s="161">
        <v>3.43</v>
      </c>
      <c r="H237" s="181">
        <f t="shared" si="40"/>
        <v>137.43532986119024</v>
      </c>
      <c r="L237" s="242"/>
    </row>
    <row r="238" spans="1:16" ht="15" x14ac:dyDescent="0.2">
      <c r="A238" s="32">
        <f t="shared" si="41"/>
        <v>2024</v>
      </c>
      <c r="B238" s="75" t="s">
        <v>31</v>
      </c>
      <c r="C238" s="157">
        <f>156.1*1.0101</f>
        <v>157.67660999999998</v>
      </c>
      <c r="D238" s="217">
        <f>130.4/90.3*139.3</f>
        <v>201.15968992248065</v>
      </c>
      <c r="E238" s="217">
        <f>131/99.8*118.5</f>
        <v>155.54609218436875</v>
      </c>
      <c r="F238" s="222">
        <f>+F$173*(123.2/103.6)</f>
        <v>124.89744381361035</v>
      </c>
      <c r="G238" s="159">
        <v>3.49</v>
      </c>
      <c r="H238" s="66">
        <f t="shared" si="40"/>
        <v>137.80191181269993</v>
      </c>
      <c r="K238" s="201"/>
    </row>
    <row r="239" spans="1:16" ht="15" x14ac:dyDescent="0.2">
      <c r="A239" s="32">
        <f t="shared" si="41"/>
        <v>2024</v>
      </c>
      <c r="B239" s="33" t="s">
        <v>14</v>
      </c>
      <c r="C239" s="157">
        <f>156.1*1.0101</f>
        <v>157.67660999999998</v>
      </c>
      <c r="D239" s="217">
        <f>130.4/90.3*139.4</f>
        <v>201.30409745293468</v>
      </c>
      <c r="E239" s="217">
        <f>131/99.8*118.5</f>
        <v>155.54609218436875</v>
      </c>
      <c r="F239" s="198">
        <f>+F$173*(123.2/103.6)</f>
        <v>124.89744381361035</v>
      </c>
      <c r="G239" s="159">
        <v>3.4</v>
      </c>
      <c r="H239" s="66">
        <f t="shared" ref="H239:H244" si="42">100+((C239-$C$40)/$C$40*100*$C$2)+((D239-$D$40)/$D$40*100*$D$2)+((E239-$E$40)/$E$40*100*$E$2)+((F239-$F$40)/$F$40*100*$F$2)+((G239-$G$40)/$G$40*100*$G$2)</f>
        <v>137.7058956382032</v>
      </c>
      <c r="L239" s="243"/>
      <c r="M239" s="244"/>
      <c r="N239" s="244"/>
      <c r="O239" s="244"/>
      <c r="P239" s="244"/>
    </row>
    <row r="240" spans="1:16" ht="15" x14ac:dyDescent="0.2">
      <c r="A240" s="32">
        <f t="shared" si="41"/>
        <v>2024</v>
      </c>
      <c r="B240" s="64" t="s">
        <v>15</v>
      </c>
      <c r="C240" s="160">
        <f>156.1*1.0101</f>
        <v>157.67660999999998</v>
      </c>
      <c r="D240" s="202">
        <f>130.4/90.3*143</f>
        <v>206.50276854928018</v>
      </c>
      <c r="E240" s="202">
        <f>131/99.8*119.8</f>
        <v>157.25250501002006</v>
      </c>
      <c r="F240" s="200">
        <f>+F$173*(123.4/103.6)</f>
        <v>125.10019940421687</v>
      </c>
      <c r="G240" s="161">
        <v>3.12</v>
      </c>
      <c r="H240" s="181">
        <f t="shared" si="42"/>
        <v>138.10956989288141</v>
      </c>
      <c r="L240" s="243"/>
      <c r="M240" s="244"/>
      <c r="N240" s="244"/>
      <c r="O240" s="244"/>
      <c r="P240" s="244"/>
    </row>
    <row r="241" spans="1:16" ht="15" x14ac:dyDescent="0.2">
      <c r="A241" s="32">
        <f t="shared" si="41"/>
        <v>2024</v>
      </c>
      <c r="B241" s="33" t="s">
        <v>16</v>
      </c>
      <c r="C241" s="157">
        <f>158.9*1.0101</f>
        <v>160.50489000000002</v>
      </c>
      <c r="D241" s="217">
        <f>130.4/90.3*136.3</f>
        <v>196.82746400885938</v>
      </c>
      <c r="E241" s="217">
        <f>131/99.8*119.3</f>
        <v>156.59619238476955</v>
      </c>
      <c r="F241" s="198">
        <f>+F$173*(123.6/103.6)</f>
        <v>125.30295499482337</v>
      </c>
      <c r="G241" s="159">
        <v>3.05</v>
      </c>
      <c r="H241" s="66">
        <f t="shared" si="42"/>
        <v>138.40561736170238</v>
      </c>
      <c r="L241" s="243"/>
      <c r="M241" s="244"/>
      <c r="N241" s="244"/>
      <c r="O241" s="244"/>
      <c r="P241" s="244"/>
    </row>
    <row r="242" spans="1:16" ht="15" x14ac:dyDescent="0.2">
      <c r="A242" s="32">
        <f t="shared" si="41"/>
        <v>2024</v>
      </c>
      <c r="B242" s="33" t="s">
        <v>17</v>
      </c>
      <c r="C242" s="157">
        <f>158.9*1.0101</f>
        <v>160.50489000000002</v>
      </c>
      <c r="D242" s="217">
        <f>130.4/90.3*130.2</f>
        <v>188.01860465116278</v>
      </c>
      <c r="E242" s="217">
        <f>131/99.8*118.9</f>
        <v>156.07114228456916</v>
      </c>
      <c r="F242" s="198">
        <f>+F$173*(123.5/103.6)</f>
        <v>125.20157719952012</v>
      </c>
      <c r="G242" s="159">
        <v>2.82</v>
      </c>
      <c r="H242" s="66">
        <f t="shared" si="42"/>
        <v>137.02187184595564</v>
      </c>
      <c r="L242" s="259"/>
      <c r="M242" s="260"/>
      <c r="N242" s="260"/>
    </row>
    <row r="243" spans="1:16" ht="15.75" thickBot="1" x14ac:dyDescent="0.25">
      <c r="A243" s="72">
        <f t="shared" si="41"/>
        <v>2024</v>
      </c>
      <c r="B243" s="73" t="s">
        <v>18</v>
      </c>
      <c r="C243" s="160">
        <f>158.9*1.0101</f>
        <v>160.50489000000002</v>
      </c>
      <c r="D243" s="218">
        <f>130.4/90.3*133.6</f>
        <v>192.92846068660023</v>
      </c>
      <c r="E243" s="218">
        <f>131/99.8*119.6</f>
        <v>156.98997995991985</v>
      </c>
      <c r="F243" s="199">
        <f>+F$173*(122.9/103.6)</f>
        <v>124.59331042770057</v>
      </c>
      <c r="G243" s="163">
        <v>2.9</v>
      </c>
      <c r="H243" s="137">
        <f t="shared" si="42"/>
        <v>137.71427088356901</v>
      </c>
      <c r="L243" s="259"/>
      <c r="M243" s="260"/>
      <c r="N243" s="260"/>
    </row>
    <row r="244" spans="1:16" ht="15" x14ac:dyDescent="0.2">
      <c r="A244" s="74">
        <v>2025</v>
      </c>
      <c r="B244" s="187" t="s">
        <v>8</v>
      </c>
      <c r="C244" s="234">
        <f>159.5*1.0101</f>
        <v>161.11095</v>
      </c>
      <c r="D244" s="217">
        <f>130.4/90.3*135.1</f>
        <v>195.09457364341085</v>
      </c>
      <c r="E244" s="217">
        <f>131/99.8*119.2</f>
        <v>156.46492985971946</v>
      </c>
      <c r="F244" s="222">
        <f>+F$173*(123.2/103.6)</f>
        <v>124.89744381361035</v>
      </c>
      <c r="G244" s="159">
        <v>2.67</v>
      </c>
      <c r="H244" s="66">
        <f t="shared" si="42"/>
        <v>138.00949547030183</v>
      </c>
      <c r="J244" t="s">
        <v>82</v>
      </c>
      <c r="L244" s="259"/>
      <c r="M244" s="260"/>
      <c r="N244" s="260"/>
    </row>
    <row r="245" spans="1:16" ht="15" x14ac:dyDescent="0.2">
      <c r="A245" s="32">
        <v>2024</v>
      </c>
      <c r="B245" s="187" t="s">
        <v>9</v>
      </c>
      <c r="C245" s="157">
        <f>159.5*1.0101</f>
        <v>161.11095</v>
      </c>
      <c r="D245" s="217">
        <f>130.4/90.3*136.6</f>
        <v>197.26068660022148</v>
      </c>
      <c r="E245" s="217">
        <f>131/99.8*118.9</f>
        <v>156.07114228456916</v>
      </c>
      <c r="F245" s="222">
        <f>+F$173*(123.5/103.6)/113.8*113.8</f>
        <v>125.20157719952012</v>
      </c>
      <c r="G245" s="159">
        <v>2.82</v>
      </c>
      <c r="H245" s="66">
        <f>100+((C245-$C$40)/$C$40*100*$C$2)+((D245-$D$40)/$D$40*100*$D$2)+((E245-$E$40)/$E$40*100*$E$2)+((F245-$F$40)/$F$40*100*$F$2)+((G245-$G$40)/$G$40*100*$G$2)</f>
        <v>138.4569594760396</v>
      </c>
      <c r="L245" s="259"/>
      <c r="M245" s="260"/>
      <c r="N245" s="260"/>
    </row>
    <row r="246" spans="1:16" ht="15" x14ac:dyDescent="0.2">
      <c r="A246" s="32">
        <v>2024</v>
      </c>
      <c r="B246" s="64" t="s">
        <v>10</v>
      </c>
      <c r="C246" s="265">
        <f>159.5*1.0101/124.7*124.7</f>
        <v>161.11095</v>
      </c>
      <c r="D246" s="202">
        <f>130.4/90.3*151.4</f>
        <v>218.63300110741972</v>
      </c>
      <c r="E246" s="202">
        <f>131/99.8*119.6</f>
        <v>156.98997995991985</v>
      </c>
      <c r="F246" s="200">
        <f>+F$173*(123.5/103.6)/113.8*113.1</f>
        <v>124.43144447509424</v>
      </c>
      <c r="G246" s="161">
        <v>2.73</v>
      </c>
      <c r="H246" s="181">
        <f>100+((C246-$C$40)/$C$40*100*$C$2)+((D246-$D$40)/$D$40*100*$D$2)+((E246-$E$40)/$E$40*100*$E$2)+((F246-$F$40)/$F$40*100*$F$2)+((G246-$G$40)/$G$40*100*$G$2)</f>
        <v>140.8803354969854</v>
      </c>
      <c r="J246" s="219" t="s">
        <v>86</v>
      </c>
      <c r="L246" s="242"/>
    </row>
    <row r="247" spans="1:16" ht="15" x14ac:dyDescent="0.2">
      <c r="A247" s="32">
        <v>2024</v>
      </c>
      <c r="B247" s="71" t="s">
        <v>11</v>
      </c>
      <c r="C247" s="266">
        <f>159.5*1.0101/124.7*125.8</f>
        <v>162.53213720930231</v>
      </c>
      <c r="D247" s="267">
        <f>130.4/90.3*150</f>
        <v>216.61129568106313</v>
      </c>
      <c r="E247" s="267">
        <f>131/99.8*120.8</f>
        <v>158.56513026052104</v>
      </c>
      <c r="F247" s="268">
        <f>+F$173*(123.5/103.6)/113.8*112.9</f>
        <v>124.21140655382972</v>
      </c>
      <c r="G247" s="158">
        <v>2.69</v>
      </c>
      <c r="H247" s="77">
        <f>100+((C247-$C$40)/$C$40*100*$C$2)+((D247-$D$40)/$D$40*100*$D$2)+((E247-$E$40)/$E$40*100*$E$2)+((F247-$F$40)/$F$40*100*$F$2)+((G247-$G$40)/$G$40*100*$G$2)</f>
        <v>141.46323457318837</v>
      </c>
      <c r="L247" s="242"/>
    </row>
    <row r="248" spans="1:16" ht="15" x14ac:dyDescent="0.2">
      <c r="A248" s="32">
        <v>2024</v>
      </c>
      <c r="B248" s="33" t="s">
        <v>12</v>
      </c>
      <c r="C248" s="266">
        <f t="shared" ref="C248:C250" si="43">159.5*1.0101/124.7*125.8</f>
        <v>162.53213720930231</v>
      </c>
      <c r="D248" s="217">
        <f>130.4/90.3*145.8</f>
        <v>210.54617940199338</v>
      </c>
      <c r="E248" s="217">
        <f>131/99.8*120.2</f>
        <v>157.77755511022045</v>
      </c>
      <c r="F248" s="198">
        <f>+F$173*(123.5/103.6)/113.8*112.8</f>
        <v>124.10138759319744</v>
      </c>
      <c r="G248" s="159">
        <v>2.75</v>
      </c>
      <c r="H248" s="66">
        <f>100+((C248-$C$40)/$C$40*100*$C$2)+((D248-$D$40)/$D$40*100*$D$2)+((E248-$E$40)/$E$40*100*$E$2)+((F248-$F$40)/$F$40*100*$F$2)+((G248-$G$40)/$G$40*100*$G$2)</f>
        <v>140.75192052728585</v>
      </c>
      <c r="L248" s="242"/>
    </row>
    <row r="249" spans="1:16" ht="15" x14ac:dyDescent="0.2">
      <c r="A249" s="32">
        <v>2024</v>
      </c>
      <c r="B249" s="64" t="s">
        <v>13</v>
      </c>
      <c r="C249" s="265">
        <f t="shared" si="43"/>
        <v>162.53213720930231</v>
      </c>
      <c r="D249" s="202">
        <f>130.4/90.3*140.8</f>
        <v>203.32580287929127</v>
      </c>
      <c r="E249" s="202">
        <f>131/99.8*120.3</f>
        <v>157.90881763527054</v>
      </c>
      <c r="F249" s="200">
        <f>+F$173*(123.5/103.6)/113.8*114.6</f>
        <v>126.08172888457825</v>
      </c>
      <c r="G249" s="161">
        <v>2.61</v>
      </c>
      <c r="H249" s="181">
        <f>100+((C249-$C$40)/$C$40*100*$C$2)+((D249-$D$40)/$D$40*100*$D$2)+((E249-$E$40)/$E$40*100*$E$2)+((F249-$F$40)/$F$40*100*$F$2)+((G249-$G$40)/$G$40*100*$G$2)</f>
        <v>139.90889681704704</v>
      </c>
      <c r="L249" s="242"/>
    </row>
    <row r="250" spans="1:16" ht="15" x14ac:dyDescent="0.2">
      <c r="A250" s="32">
        <v>2024</v>
      </c>
      <c r="B250" s="75" t="s">
        <v>31</v>
      </c>
      <c r="C250" s="266">
        <f>159.5*1.0101/124.7*126.3</f>
        <v>163.17813139534883</v>
      </c>
      <c r="D250" s="267">
        <f>130.4/90.3*138.5</f>
        <v>200.00442967884828</v>
      </c>
      <c r="E250" s="267">
        <f>131/99.8*120.4</f>
        <v>158.04008016032066</v>
      </c>
      <c r="F250" s="268">
        <f>+F$173*(123.5/103.6)/113.8*114.9</f>
        <v>126.41178576647506</v>
      </c>
      <c r="G250" s="158">
        <v>2.67</v>
      </c>
      <c r="H250" s="77">
        <f>100+((C250-$C$40)/$C$40*100*$C$2)+((D250-$D$40)/$D$40*100*$D$2)+((E250-$E$40)/$E$40*100*$E$2)+((F250-$F$40)/$F$40*100*$F$2)+((G250-$G$40)/$G$40*100*$G$2)</f>
        <v>139.98555388147818</v>
      </c>
      <c r="L250" s="242"/>
    </row>
    <row r="251" spans="1:16" ht="15" x14ac:dyDescent="0.2">
      <c r="A251" s="32">
        <v>2024</v>
      </c>
      <c r="B251" s="33" t="s">
        <v>14</v>
      </c>
      <c r="C251" s="266">
        <f t="shared" ref="C251:C252" si="44">159.5*1.0101/124.7*126.3</f>
        <v>163.17813139534883</v>
      </c>
      <c r="D251" s="171">
        <f t="shared" ref="D250:D267" si="45">D250</f>
        <v>200.00442967884828</v>
      </c>
      <c r="E251" s="171">
        <f t="shared" ref="E250:E255" si="46">E250*(1+(((SUM(E$232:E$243)-SUM(E$220:E$231))/SUM(E$220:E$231))/12))</f>
        <v>158.19662045324338</v>
      </c>
      <c r="F251" s="171">
        <f t="shared" ref="F250:F254" si="47">F250*(1+(((SUM(F$232:F$243)-SUM(F$220:F$231))/SUM(F$220:F$231))/12))</f>
        <v>126.41749697031381</v>
      </c>
      <c r="G251" s="98">
        <f t="shared" ref="G250:G267" si="48">+G250</f>
        <v>2.67</v>
      </c>
      <c r="H251" s="178">
        <f t="shared" ref="H250:H254" si="49">100+((C251-$C$40)/$C$40*100*$C$2)+((D251-$D$40)/$D$40*100*$D$2)+((E251-$E$40)/$E$40*100*$E$2)+((F251-$F$40)/$F$40*100*$F$2)+((G251-$G$40)/$G$40*100*$G$2)</f>
        <v>139.99692585894888</v>
      </c>
      <c r="L251" s="242"/>
    </row>
    <row r="252" spans="1:16" ht="15" x14ac:dyDescent="0.2">
      <c r="A252" s="32">
        <v>2024</v>
      </c>
      <c r="B252" s="64" t="s">
        <v>15</v>
      </c>
      <c r="C252" s="265">
        <f t="shared" si="44"/>
        <v>163.17813139534883</v>
      </c>
      <c r="D252" s="172">
        <f t="shared" si="45"/>
        <v>200.00442967884828</v>
      </c>
      <c r="E252" s="172">
        <f t="shared" si="46"/>
        <v>158.35331580090465</v>
      </c>
      <c r="F252" s="172">
        <f t="shared" si="47"/>
        <v>126.4232084321811</v>
      </c>
      <c r="G252" s="99">
        <f t="shared" si="48"/>
        <v>2.67</v>
      </c>
      <c r="H252" s="179">
        <f t="shared" si="49"/>
        <v>140.00830860005786</v>
      </c>
      <c r="L252" s="242"/>
    </row>
    <row r="253" spans="1:16" ht="15" x14ac:dyDescent="0.2">
      <c r="A253" s="32">
        <v>2024</v>
      </c>
      <c r="B253" s="33" t="s">
        <v>16</v>
      </c>
      <c r="C253" s="171">
        <f t="shared" ref="C250:C254" si="50">C250*(1+(((SUM(C$232:C$243)-SUM(C$220:C$231))/SUM(C$220:C$231))/4))</f>
        <v>164.76231908764532</v>
      </c>
      <c r="D253" s="171">
        <f t="shared" si="45"/>
        <v>200.00442967884828</v>
      </c>
      <c r="E253" s="171">
        <f t="shared" si="46"/>
        <v>158.51016635688774</v>
      </c>
      <c r="F253" s="171">
        <f t="shared" si="47"/>
        <v>126.42892015208859</v>
      </c>
      <c r="G253" s="98">
        <f t="shared" si="48"/>
        <v>2.67</v>
      </c>
      <c r="H253" s="178">
        <f t="shared" si="49"/>
        <v>140.89494393439236</v>
      </c>
      <c r="L253" s="242"/>
    </row>
    <row r="254" spans="1:16" ht="15" x14ac:dyDescent="0.2">
      <c r="A254" s="32">
        <v>2024</v>
      </c>
      <c r="B254" s="33" t="s">
        <v>17</v>
      </c>
      <c r="C254" s="171">
        <f t="shared" si="50"/>
        <v>164.76231908764532</v>
      </c>
      <c r="D254" s="171">
        <f t="shared" si="45"/>
        <v>200.00442967884828</v>
      </c>
      <c r="E254" s="171">
        <f t="shared" si="46"/>
        <v>158.66717227492808</v>
      </c>
      <c r="F254" s="171">
        <f t="shared" si="47"/>
        <v>126.43463213004794</v>
      </c>
      <c r="G254" s="98">
        <f t="shared" si="48"/>
        <v>2.67</v>
      </c>
      <c r="H254" s="178">
        <f t="shared" si="49"/>
        <v>140.90634823470509</v>
      </c>
      <c r="L254" s="242"/>
    </row>
    <row r="255" spans="1:16" ht="15.75" thickBot="1" x14ac:dyDescent="0.25">
      <c r="A255" s="72">
        <v>2024</v>
      </c>
      <c r="B255" s="73" t="s">
        <v>18</v>
      </c>
      <c r="C255" s="239">
        <f>C252*(1+(((SUM(C$232:C$243)-SUM(C$220:C$231))/SUM(C$220:C$231))/4))</f>
        <v>164.76231908764532</v>
      </c>
      <c r="D255" s="239">
        <f t="shared" si="45"/>
        <v>200.00442967884828</v>
      </c>
      <c r="E255" s="239">
        <f t="shared" si="46"/>
        <v>158.82433370891331</v>
      </c>
      <c r="F255" s="239">
        <f>F254*(1+(((SUM(F$232:F$243)-SUM(F$220:F$231))/SUM(F$220:F$231))/12))</f>
        <v>126.44034436607082</v>
      </c>
      <c r="G255" s="240">
        <f t="shared" si="48"/>
        <v>2.67</v>
      </c>
      <c r="H255" s="241">
        <f>100+((C255-$C$40)/$C$40*100*$C$2)+((D255-$D$40)/$D$40*100*$D$2)+((E255-$E$40)/$E$40*100*$E$2)+((F255-$F$40)/$F$40*100*$F$2)+((G255-$G$40)/$G$40*100*$G$2)</f>
        <v>140.9177633306044</v>
      </c>
      <c r="L255" s="242"/>
    </row>
    <row r="256" spans="1:16" ht="15" x14ac:dyDescent="0.2">
      <c r="A256" s="74">
        <v>2026</v>
      </c>
      <c r="B256" s="187" t="s">
        <v>8</v>
      </c>
      <c r="C256" s="171">
        <f>C253*(1+(((SUM(C$244:C$255)-SUM(C$232:C$243))/SUM(C$232:C$243))/4))</f>
        <v>166.20087331420046</v>
      </c>
      <c r="D256" s="171">
        <f t="shared" si="45"/>
        <v>200.00442967884828</v>
      </c>
      <c r="E256" s="171">
        <f>E255*(1+(((SUM(E$244:E$255)-SUM(E$232:E$243))/SUM(E$232:E$243))/12))</f>
        <v>159.02440695264232</v>
      </c>
      <c r="F256" s="171">
        <f>F255*(1+(((SUM(F$244:F$255)-SUM(F$232:F$243))/SUM(F$232:F$243))/12))</f>
        <v>126.51594856452611</v>
      </c>
      <c r="G256" s="98">
        <f t="shared" si="48"/>
        <v>2.67</v>
      </c>
      <c r="H256" s="245">
        <f t="shared" ref="H256:H266" si="51">100+((C256-$C$40)/$C$40*100*$C$2)+((D256-$D$40)/$D$40*100*$D$2)+((E256-$E$40)/$E$40*100*$E$2)+((F256-$F$40)/$F$40*100*$F$2)+((G256-$G$40)/$G$40*100*$G$2)</f>
        <v>141.73341015646321</v>
      </c>
      <c r="L256" s="242"/>
    </row>
    <row r="257" spans="1:12" ht="15" x14ac:dyDescent="0.2">
      <c r="A257" s="32">
        <v>2024</v>
      </c>
      <c r="B257" s="187" t="s">
        <v>9</v>
      </c>
      <c r="C257" s="171">
        <f t="shared" ref="C257:C267" si="52">C254*(1+(((SUM(C$244:C$255)-SUM(C$232:C$243))/SUM(C$232:C$243))/4))</f>
        <v>166.20087331420046</v>
      </c>
      <c r="D257" s="171">
        <f t="shared" si="45"/>
        <v>200.00442967884828</v>
      </c>
      <c r="E257" s="171">
        <f>E256*(1+(((SUM(E$244:E$255)-SUM(E$232:E$243))/SUM(E$232:E$243))/12))</f>
        <v>159.22473223144632</v>
      </c>
      <c r="F257" s="171">
        <f t="shared" ref="F257:F267" si="53">F256*(1+(((SUM(F$244:F$255)-SUM(F$232:F$243))/SUM(F$232:F$243))/12))</f>
        <v>126.59159797003026</v>
      </c>
      <c r="G257" s="98">
        <f t="shared" si="48"/>
        <v>2.67</v>
      </c>
      <c r="H257" s="245">
        <f t="shared" si="51"/>
        <v>141.75429728880738</v>
      </c>
      <c r="L257" s="242"/>
    </row>
    <row r="258" spans="1:12" ht="15" x14ac:dyDescent="0.2">
      <c r="A258" s="32">
        <v>2024</v>
      </c>
      <c r="B258" s="64" t="s">
        <v>10</v>
      </c>
      <c r="C258" s="172">
        <f t="shared" si="52"/>
        <v>166.20087331420046</v>
      </c>
      <c r="D258" s="172">
        <f t="shared" si="45"/>
        <v>200.00442967884828</v>
      </c>
      <c r="E258" s="172">
        <f t="shared" ref="E258:E267" si="54">E257*(1+(((SUM(E$244:E$255)-SUM(E$232:E$243))/SUM(E$232:E$243))/12))</f>
        <v>159.42530986281744</v>
      </c>
      <c r="F258" s="172">
        <f t="shared" si="53"/>
        <v>126.66729260961452</v>
      </c>
      <c r="G258" s="99">
        <f t="shared" si="48"/>
        <v>2.67</v>
      </c>
      <c r="H258" s="246">
        <f t="shared" si="51"/>
        <v>141.77520609277141</v>
      </c>
      <c r="L258" s="242"/>
    </row>
    <row r="259" spans="1:12" ht="15" x14ac:dyDescent="0.2">
      <c r="A259" s="32">
        <v>2024</v>
      </c>
      <c r="B259" s="71" t="s">
        <v>11</v>
      </c>
      <c r="C259" s="171">
        <f t="shared" si="52"/>
        <v>167.65198768359772</v>
      </c>
      <c r="D259" s="173">
        <f t="shared" si="45"/>
        <v>200.00442967884828</v>
      </c>
      <c r="E259" s="173">
        <f t="shared" si="54"/>
        <v>159.62614016464775</v>
      </c>
      <c r="F259" s="173">
        <f t="shared" si="53"/>
        <v>126.74303251032633</v>
      </c>
      <c r="G259" s="170">
        <f t="shared" si="48"/>
        <v>2.67</v>
      </c>
      <c r="H259" s="245">
        <f t="shared" si="51"/>
        <v>142.59785723895661</v>
      </c>
      <c r="L259" s="242"/>
    </row>
    <row r="260" spans="1:12" ht="15" x14ac:dyDescent="0.2">
      <c r="A260" s="32">
        <v>2024</v>
      </c>
      <c r="B260" s="33" t="s">
        <v>12</v>
      </c>
      <c r="C260" s="171">
        <f t="shared" si="52"/>
        <v>167.65198768359772</v>
      </c>
      <c r="D260" s="171">
        <f t="shared" si="45"/>
        <v>200.00442967884828</v>
      </c>
      <c r="E260" s="171">
        <f t="shared" si="54"/>
        <v>159.82722345522976</v>
      </c>
      <c r="F260" s="171">
        <f t="shared" si="53"/>
        <v>126.81881769922929</v>
      </c>
      <c r="G260" s="98">
        <f t="shared" si="48"/>
        <v>2.67</v>
      </c>
      <c r="H260" s="245">
        <f t="shared" si="51"/>
        <v>142.618809459766</v>
      </c>
      <c r="L260" s="242"/>
    </row>
    <row r="261" spans="1:12" ht="15" x14ac:dyDescent="0.2">
      <c r="A261" s="32">
        <v>2024</v>
      </c>
      <c r="B261" s="64" t="s">
        <v>13</v>
      </c>
      <c r="C261" s="172">
        <f t="shared" si="52"/>
        <v>167.65198768359772</v>
      </c>
      <c r="D261" s="172">
        <f t="shared" si="45"/>
        <v>200.00442967884828</v>
      </c>
      <c r="E261" s="172">
        <f t="shared" si="54"/>
        <v>160.02856005325697</v>
      </c>
      <c r="F261" s="172">
        <f t="shared" si="53"/>
        <v>126.89464820340318</v>
      </c>
      <c r="G261" s="99">
        <f t="shared" si="48"/>
        <v>2.67</v>
      </c>
      <c r="H261" s="246">
        <f t="shared" si="51"/>
        <v>142.63978342585946</v>
      </c>
      <c r="L261" s="242"/>
    </row>
    <row r="262" spans="1:12" ht="15" x14ac:dyDescent="0.2">
      <c r="A262" s="32">
        <v>2024</v>
      </c>
      <c r="B262" s="75" t="s">
        <v>31</v>
      </c>
      <c r="C262" s="171">
        <f t="shared" si="52"/>
        <v>169.11577185954343</v>
      </c>
      <c r="D262" s="171">
        <f t="shared" si="45"/>
        <v>200.00442967884828</v>
      </c>
      <c r="E262" s="171">
        <f t="shared" si="54"/>
        <v>160.23015027782432</v>
      </c>
      <c r="F262" s="171">
        <f t="shared" si="53"/>
        <v>126.97052404994398</v>
      </c>
      <c r="G262" s="98">
        <f t="shared" si="48"/>
        <v>2.67</v>
      </c>
      <c r="H262" s="245">
        <f t="shared" si="51"/>
        <v>143.46949970104674</v>
      </c>
      <c r="L262" s="242"/>
    </row>
    <row r="263" spans="1:12" ht="15" x14ac:dyDescent="0.2">
      <c r="A263" s="32">
        <v>2024</v>
      </c>
      <c r="B263" s="33" t="s">
        <v>14</v>
      </c>
      <c r="C263" s="171">
        <f t="shared" si="52"/>
        <v>169.11577185954343</v>
      </c>
      <c r="D263" s="171">
        <f t="shared" si="45"/>
        <v>200.00442967884828</v>
      </c>
      <c r="E263" s="171">
        <f t="shared" si="54"/>
        <v>160.43199444842872</v>
      </c>
      <c r="F263" s="171">
        <f t="shared" si="53"/>
        <v>127.04644526596387</v>
      </c>
      <c r="G263" s="98">
        <f t="shared" si="48"/>
        <v>2.67</v>
      </c>
      <c r="H263" s="245">
        <f t="shared" si="51"/>
        <v>143.49051723157743</v>
      </c>
      <c r="L263" s="242"/>
    </row>
    <row r="264" spans="1:12" ht="15" x14ac:dyDescent="0.2">
      <c r="A264" s="32">
        <v>2024</v>
      </c>
      <c r="B264" s="64" t="s">
        <v>15</v>
      </c>
      <c r="C264" s="172">
        <f t="shared" si="52"/>
        <v>169.11577185954343</v>
      </c>
      <c r="D264" s="172">
        <f t="shared" si="45"/>
        <v>200.00442967884828</v>
      </c>
      <c r="E264" s="172">
        <f t="shared" si="54"/>
        <v>160.63409288496956</v>
      </c>
      <c r="F264" s="172">
        <f t="shared" si="53"/>
        <v>127.12241187859124</v>
      </c>
      <c r="G264" s="99">
        <f t="shared" si="48"/>
        <v>2.67</v>
      </c>
      <c r="H264" s="246">
        <f t="shared" si="51"/>
        <v>143.51155658132006</v>
      </c>
      <c r="L264" s="242"/>
    </row>
    <row r="265" spans="1:12" ht="15" x14ac:dyDescent="0.2">
      <c r="A265" s="32">
        <v>2024</v>
      </c>
      <c r="B265" s="33" t="s">
        <v>16</v>
      </c>
      <c r="C265" s="171">
        <f t="shared" si="52"/>
        <v>170.5923364632273</v>
      </c>
      <c r="D265" s="171">
        <f t="shared" si="45"/>
        <v>200.00442967884828</v>
      </c>
      <c r="E265" s="171">
        <f>E264*(1+(((SUM(E$244:E$255)-SUM(E$232:E$243))/SUM(E$232:E$243))/12))</f>
        <v>160.83644590774921</v>
      </c>
      <c r="F265" s="171">
        <f t="shared" si="53"/>
        <v>127.1984239149707</v>
      </c>
      <c r="G265" s="98">
        <f t="shared" si="48"/>
        <v>2.67</v>
      </c>
      <c r="H265" s="245">
        <f t="shared" si="51"/>
        <v>144.34839932397264</v>
      </c>
      <c r="L265" s="242"/>
    </row>
    <row r="266" spans="1:12" ht="15" x14ac:dyDescent="0.2">
      <c r="A266" s="32">
        <v>2024</v>
      </c>
      <c r="B266" s="33" t="s">
        <v>17</v>
      </c>
      <c r="C266" s="171">
        <f t="shared" si="52"/>
        <v>170.5923364632273</v>
      </c>
      <c r="D266" s="171">
        <f t="shared" si="45"/>
        <v>200.00442967884828</v>
      </c>
      <c r="E266" s="171">
        <f t="shared" si="54"/>
        <v>161.03905383747355</v>
      </c>
      <c r="F266" s="171">
        <f t="shared" si="53"/>
        <v>127.27448140226311</v>
      </c>
      <c r="G266" s="98">
        <f t="shared" si="48"/>
        <v>2.67</v>
      </c>
      <c r="H266" s="245">
        <f t="shared" si="51"/>
        <v>144.36948238627292</v>
      </c>
      <c r="L266" s="242"/>
    </row>
    <row r="267" spans="1:12" ht="15" x14ac:dyDescent="0.2">
      <c r="A267" s="32">
        <v>2024</v>
      </c>
      <c r="B267" s="33" t="s">
        <v>18</v>
      </c>
      <c r="C267" s="171">
        <f t="shared" si="52"/>
        <v>170.5923364632273</v>
      </c>
      <c r="D267" s="171">
        <f t="shared" si="45"/>
        <v>200.00442967884828</v>
      </c>
      <c r="E267" s="171">
        <f t="shared" si="54"/>
        <v>161.24191699525241</v>
      </c>
      <c r="F267" s="171">
        <f t="shared" si="53"/>
        <v>127.35058436764552</v>
      </c>
      <c r="G267" s="98">
        <f t="shared" si="48"/>
        <v>2.67</v>
      </c>
      <c r="H267" s="245">
        <f>100+((C267-$C$40)/$C$40*100*$C$2)+((D267-$D$40)/$D$40*100*$D$2)+((E267-$E$40)/$E$40*100*$E$2)+((F267-$F$40)/$F$40*100*$F$2)+((G267-$G$40)/$G$40*100*$G$2)</f>
        <v>144.39058734197775</v>
      </c>
      <c r="J267" s="13"/>
      <c r="L267" s="242"/>
    </row>
    <row r="268" spans="1:12" x14ac:dyDescent="0.2">
      <c r="A268" s="208" t="s">
        <v>43</v>
      </c>
      <c r="B268" s="208"/>
      <c r="C268" s="208"/>
      <c r="D268" s="208"/>
      <c r="E268" s="208"/>
      <c r="F268" s="208"/>
      <c r="G268" s="208"/>
      <c r="H268" s="209"/>
      <c r="I268" s="208"/>
      <c r="J268" s="208"/>
    </row>
    <row r="269" spans="1:12" x14ac:dyDescent="0.2">
      <c r="A269" s="208" t="s">
        <v>44</v>
      </c>
      <c r="B269" s="208"/>
      <c r="C269" s="208"/>
      <c r="D269" s="208"/>
      <c r="E269" s="208"/>
      <c r="F269" s="208"/>
      <c r="G269" s="208"/>
      <c r="H269" s="209"/>
      <c r="I269" s="208"/>
      <c r="J269" s="208"/>
    </row>
    <row r="270" spans="1:12" x14ac:dyDescent="0.2">
      <c r="A270" s="208" t="s">
        <v>46</v>
      </c>
      <c r="B270" s="208"/>
      <c r="C270" s="208"/>
      <c r="D270" s="208"/>
      <c r="E270" s="208"/>
      <c r="F270" s="208"/>
      <c r="G270" s="208"/>
      <c r="H270" s="209"/>
      <c r="I270" s="208"/>
      <c r="J270" s="208"/>
    </row>
    <row r="271" spans="1:12" x14ac:dyDescent="0.2">
      <c r="A271" s="210" t="s">
        <v>75</v>
      </c>
      <c r="B271" s="210" t="s">
        <v>77</v>
      </c>
      <c r="C271" s="210"/>
      <c r="D271" s="210"/>
      <c r="E271" s="210"/>
      <c r="F271" s="210"/>
      <c r="G271" s="210"/>
      <c r="H271" s="211"/>
      <c r="I271" s="210"/>
      <c r="J271" s="210"/>
    </row>
    <row r="272" spans="1:12" x14ac:dyDescent="0.2">
      <c r="A272" s="210" t="s">
        <v>76</v>
      </c>
      <c r="B272" s="210" t="s">
        <v>79</v>
      </c>
      <c r="C272" s="210"/>
      <c r="D272" s="210"/>
      <c r="E272" s="210"/>
      <c r="F272" s="210"/>
      <c r="G272" s="210"/>
      <c r="H272" s="211"/>
      <c r="I272" s="210"/>
      <c r="J272" s="210"/>
    </row>
    <row r="273" spans="1:10" x14ac:dyDescent="0.2">
      <c r="A273" s="210" t="s">
        <v>83</v>
      </c>
      <c r="B273" s="210" t="s">
        <v>84</v>
      </c>
      <c r="C273" s="210"/>
      <c r="D273" s="210"/>
      <c r="E273" s="210"/>
      <c r="F273" s="210"/>
      <c r="G273" s="210"/>
      <c r="H273" s="211"/>
      <c r="I273" s="210"/>
      <c r="J273" s="210"/>
    </row>
    <row r="274" spans="1:10" x14ac:dyDescent="0.2">
      <c r="A274" s="204" t="s">
        <v>70</v>
      </c>
      <c r="B274" s="206" t="s">
        <v>74</v>
      </c>
      <c r="C274" s="206"/>
      <c r="D274" s="206"/>
      <c r="E274" s="206"/>
      <c r="F274" s="206"/>
      <c r="G274" s="206"/>
      <c r="H274" s="206"/>
      <c r="I274" s="206"/>
      <c r="J274" s="206"/>
    </row>
    <row r="275" spans="1:10" ht="57.75" customHeight="1" x14ac:dyDescent="0.2">
      <c r="A275" s="261" t="s">
        <v>81</v>
      </c>
      <c r="B275" s="269" t="s">
        <v>85</v>
      </c>
      <c r="C275" s="269"/>
      <c r="D275" s="269"/>
      <c r="E275" s="269"/>
      <c r="F275" s="269"/>
      <c r="G275" s="269"/>
      <c r="H275" s="269"/>
      <c r="I275" s="269"/>
      <c r="J275" s="269"/>
    </row>
    <row r="276" spans="1:10" x14ac:dyDescent="0.2">
      <c r="A276" s="263" t="s">
        <v>87</v>
      </c>
      <c r="B276" s="263" t="s">
        <v>88</v>
      </c>
      <c r="C276" s="263"/>
      <c r="D276" s="263"/>
      <c r="E276" s="263"/>
      <c r="F276" s="263"/>
      <c r="G276" s="263"/>
      <c r="H276" s="263"/>
      <c r="I276" s="263"/>
      <c r="J276" s="263"/>
    </row>
    <row r="278" spans="1:10" x14ac:dyDescent="0.2">
      <c r="C278" s="262"/>
    </row>
  </sheetData>
  <mergeCells count="1">
    <mergeCell ref="B275:J275"/>
  </mergeCells>
  <phoneticPr fontId="4" type="noConversion"/>
  <pageMargins left="0.74803149606299213" right="0.74803149606299213" top="0.78740157480314965" bottom="0.39370078740157483" header="0" footer="0"/>
  <pageSetup paperSize="9" scale="86" fitToHeight="0" orientation="portrait" r:id="rId1"/>
  <headerFooter alignWithMargins="0">
    <oddHeader>&amp;L&amp;G&amp;R&amp;14
&amp;"Arial,Fed"Omkostningsindeks</oddHeader>
    <oddFooter>&amp;L&amp;D&amp;RKontaktinformation: FynBus (HNB/JNB)</oddFooter>
  </headerFooter>
  <rowBreaks count="1" manualBreakCount="1">
    <brk id="243" max="9" man="1"/>
  </rowBreak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D7759-20BB-4455-85F8-8032BD4A4A9B}">
  <sheetPr codeName="Ark2">
    <pageSetUpPr fitToPage="1"/>
  </sheetPr>
  <dimension ref="A1:AA267"/>
  <sheetViews>
    <sheetView view="pageBreakPreview" topLeftCell="A234" zoomScale="96" zoomScaleNormal="100" zoomScaleSheetLayoutView="96" workbookViewId="0">
      <selection activeCell="C250" sqref="C250:H250"/>
    </sheetView>
  </sheetViews>
  <sheetFormatPr defaultRowHeight="12.75" x14ac:dyDescent="0.2"/>
  <cols>
    <col min="2" max="2" width="9.5703125" customWidth="1"/>
    <col min="5" max="5" width="10.140625" customWidth="1"/>
    <col min="6" max="6" width="11.140625" customWidth="1"/>
    <col min="7" max="7" width="11.85546875" bestFit="1" customWidth="1"/>
  </cols>
  <sheetData>
    <row r="1" spans="1:8" ht="18" x14ac:dyDescent="0.25">
      <c r="A1" s="1" t="s">
        <v>22</v>
      </c>
      <c r="C1" s="2"/>
      <c r="G1" s="100" t="s">
        <v>32</v>
      </c>
    </row>
    <row r="2" spans="1:8" x14ac:dyDescent="0.2">
      <c r="C2" s="3"/>
      <c r="D2" s="3"/>
      <c r="E2" s="3"/>
      <c r="F2" s="3"/>
      <c r="G2" s="3"/>
    </row>
    <row r="3" spans="1:8" x14ac:dyDescent="0.2">
      <c r="A3" s="2" t="s">
        <v>1</v>
      </c>
      <c r="B3" s="2" t="s">
        <v>2</v>
      </c>
      <c r="C3" s="2" t="s">
        <v>3</v>
      </c>
      <c r="D3" s="2" t="s">
        <v>4</v>
      </c>
      <c r="E3" s="2" t="s">
        <v>5</v>
      </c>
      <c r="F3" s="2" t="s">
        <v>6</v>
      </c>
      <c r="G3" s="2" t="s">
        <v>7</v>
      </c>
      <c r="H3" s="2" t="s">
        <v>21</v>
      </c>
    </row>
    <row r="4" spans="1:8" hidden="1" x14ac:dyDescent="0.2">
      <c r="A4" s="8">
        <v>2005</v>
      </c>
      <c r="B4" s="13" t="s">
        <v>8</v>
      </c>
      <c r="C4" s="130" t="s">
        <v>19</v>
      </c>
      <c r="D4" s="131" t="s">
        <v>19</v>
      </c>
      <c r="E4" s="131" t="s">
        <v>19</v>
      </c>
      <c r="F4" s="131" t="s">
        <v>19</v>
      </c>
      <c r="G4" s="131" t="s">
        <v>19</v>
      </c>
      <c r="H4" s="131" t="s">
        <v>19</v>
      </c>
    </row>
    <row r="5" spans="1:8" hidden="1" x14ac:dyDescent="0.2">
      <c r="A5" s="12">
        <v>2005</v>
      </c>
      <c r="B5" s="13" t="s">
        <v>9</v>
      </c>
      <c r="C5" s="131" t="s">
        <v>19</v>
      </c>
      <c r="D5" s="131" t="s">
        <v>19</v>
      </c>
      <c r="E5" s="131" t="s">
        <v>19</v>
      </c>
      <c r="F5" s="131" t="s">
        <v>19</v>
      </c>
      <c r="G5" s="131" t="s">
        <v>19</v>
      </c>
      <c r="H5" s="131" t="s">
        <v>19</v>
      </c>
    </row>
    <row r="6" spans="1:8" hidden="1" x14ac:dyDescent="0.2">
      <c r="A6" s="16">
        <v>2005</v>
      </c>
      <c r="B6" s="17" t="s">
        <v>10</v>
      </c>
      <c r="C6" s="132" t="s">
        <v>19</v>
      </c>
      <c r="D6" s="132" t="s">
        <v>19</v>
      </c>
      <c r="E6" s="132" t="s">
        <v>19</v>
      </c>
      <c r="F6" s="132" t="s">
        <v>19</v>
      </c>
      <c r="G6" s="132" t="s">
        <v>19</v>
      </c>
      <c r="H6" s="132" t="s">
        <v>19</v>
      </c>
    </row>
    <row r="7" spans="1:8" hidden="1" x14ac:dyDescent="0.2">
      <c r="A7" s="21">
        <v>2005</v>
      </c>
      <c r="B7" s="22" t="s">
        <v>11</v>
      </c>
      <c r="C7" s="133" t="s">
        <v>19</v>
      </c>
      <c r="D7" s="133" t="s">
        <v>19</v>
      </c>
      <c r="E7" s="133" t="s">
        <v>19</v>
      </c>
      <c r="F7" s="133" t="s">
        <v>19</v>
      </c>
      <c r="G7" s="133" t="s">
        <v>19</v>
      </c>
      <c r="H7" s="133" t="s">
        <v>19</v>
      </c>
    </row>
    <row r="8" spans="1:8" hidden="1" x14ac:dyDescent="0.2">
      <c r="A8" s="12">
        <v>2005</v>
      </c>
      <c r="B8" s="13" t="s">
        <v>12</v>
      </c>
      <c r="C8" s="131" t="s">
        <v>19</v>
      </c>
      <c r="D8" s="131" t="s">
        <v>19</v>
      </c>
      <c r="E8" s="131" t="s">
        <v>19</v>
      </c>
      <c r="F8" s="131" t="s">
        <v>19</v>
      </c>
      <c r="G8" s="131" t="s">
        <v>19</v>
      </c>
      <c r="H8" s="131" t="s">
        <v>19</v>
      </c>
    </row>
    <row r="9" spans="1:8" hidden="1" x14ac:dyDescent="0.2">
      <c r="A9" s="16">
        <v>2005</v>
      </c>
      <c r="B9" s="17" t="s">
        <v>13</v>
      </c>
      <c r="C9" s="132" t="s">
        <v>19</v>
      </c>
      <c r="D9" s="132" t="s">
        <v>19</v>
      </c>
      <c r="E9" s="132" t="s">
        <v>19</v>
      </c>
      <c r="F9" s="132" t="s">
        <v>19</v>
      </c>
      <c r="G9" s="132" t="s">
        <v>19</v>
      </c>
      <c r="H9" s="132" t="s">
        <v>19</v>
      </c>
    </row>
    <row r="10" spans="1:8" hidden="1" x14ac:dyDescent="0.2">
      <c r="A10" s="21">
        <v>2005</v>
      </c>
      <c r="B10" s="26" t="s">
        <v>31</v>
      </c>
      <c r="C10" s="85">
        <f>(Indeks!C10/Indeks!$C$40*Indeks!$C$2)/Indeks!H10*100</f>
        <v>0.61188607679281115</v>
      </c>
      <c r="D10" s="85">
        <f>(Indeks!D10/Indeks!$D$40*Indeks!$D$2)/Indeks!H10*100</f>
        <v>0.15465639121680014</v>
      </c>
      <c r="E10" s="85">
        <f>(Indeks!E10/Indeks!$E$40*Indeks!$E$2)/Indeks!H10*100</f>
        <v>8.4612136470404983E-2</v>
      </c>
      <c r="F10" s="85">
        <f>(Indeks!F10/Indeks!$F$40*Indeks!$F$2)/Indeks!H10*100</f>
        <v>0.10203726514736525</v>
      </c>
      <c r="G10" s="85">
        <f>(Indeks!G10/Indeks!$G$40*Indeks!$G$2)/Indeks!H10*100</f>
        <v>4.6808130372618377E-2</v>
      </c>
      <c r="H10" s="85">
        <f t="shared" ref="H10:H39" si="0">SUM(C10:G10)</f>
        <v>0.99999999999999989</v>
      </c>
    </row>
    <row r="11" spans="1:8" hidden="1" x14ac:dyDescent="0.2">
      <c r="A11" s="12">
        <v>2005</v>
      </c>
      <c r="B11" s="13" t="s">
        <v>14</v>
      </c>
      <c r="C11" s="83">
        <f>(Indeks!C11/Indeks!$C$40*Indeks!$C$2)/Indeks!H11*100</f>
        <v>0.60761159635041417</v>
      </c>
      <c r="D11" s="83">
        <f>(Indeks!D11/Indeks!$D$40*Indeks!$D$2)/Indeks!H11*100</f>
        <v>0.16090784761494437</v>
      </c>
      <c r="E11" s="83">
        <f>(Indeks!E11/Indeks!$E$40*Indeks!$E$2)/Indeks!H11*100</f>
        <v>8.4097232643549902E-2</v>
      </c>
      <c r="F11" s="83">
        <f>(Indeks!F11/Indeks!$F$40*Indeks!$F$2)/Indeks!H11*100</f>
        <v>0.10173220307661329</v>
      </c>
      <c r="G11" s="83">
        <f>(Indeks!G11/Indeks!$G$40*Indeks!$G$2)/Indeks!H11*100</f>
        <v>4.5651120314478294E-2</v>
      </c>
      <c r="H11" s="83">
        <f t="shared" si="0"/>
        <v>1</v>
      </c>
    </row>
    <row r="12" spans="1:8" hidden="1" x14ac:dyDescent="0.2">
      <c r="A12" s="16">
        <v>2005</v>
      </c>
      <c r="B12" s="17" t="s">
        <v>15</v>
      </c>
      <c r="C12" s="84">
        <f>(Indeks!C12/Indeks!$C$40*Indeks!$C$2)/Indeks!H12*100</f>
        <v>0.60437377294674866</v>
      </c>
      <c r="D12" s="84">
        <f>(Indeks!D12/Indeks!$D$40*Indeks!$D$2)/Indeks!H12*100</f>
        <v>0.1653897609372251</v>
      </c>
      <c r="E12" s="84">
        <f>(Indeks!E12/Indeks!$E$40*Indeks!$E$2)/Indeks!H12*100</f>
        <v>8.3573328590412277E-2</v>
      </c>
      <c r="F12" s="84">
        <f>(Indeks!F12/Indeks!$F$40*Indeks!$F$2)/Indeks!H12*100</f>
        <v>0.10139288116686443</v>
      </c>
      <c r="G12" s="84">
        <f>(Indeks!G12/Indeks!$G$40*Indeks!$G$2)/Indeks!H12*100</f>
        <v>4.5270256358749601E-2</v>
      </c>
      <c r="H12" s="84">
        <f t="shared" si="0"/>
        <v>1</v>
      </c>
    </row>
    <row r="13" spans="1:8" hidden="1" x14ac:dyDescent="0.2">
      <c r="A13" s="12">
        <v>2005</v>
      </c>
      <c r="B13" s="13" t="s">
        <v>16</v>
      </c>
      <c r="C13" s="85">
        <f>(Indeks!C13/Indeks!$C$40*Indeks!$C$2)/Indeks!H13*100</f>
        <v>0.60589778919035231</v>
      </c>
      <c r="D13" s="85">
        <f>(Indeks!D13/Indeks!$D$40*Indeks!$D$2)/Indeks!H13*100</f>
        <v>0.16433237064909859</v>
      </c>
      <c r="E13" s="85">
        <f>(Indeks!E13/Indeks!$E$40*Indeks!$E$2)/Indeks!H13*100</f>
        <v>8.3367234702559606E-2</v>
      </c>
      <c r="F13" s="85">
        <f>(Indeks!F13/Indeks!$F$40*Indeks!$F$2)/Indeks!H13*100</f>
        <v>0.10124398666704326</v>
      </c>
      <c r="G13" s="85">
        <f>(Indeks!G13/Indeks!$G$40*Indeks!$G$2)/Indeks!H13*100</f>
        <v>4.5158618790946271E-2</v>
      </c>
      <c r="H13" s="85">
        <f t="shared" si="0"/>
        <v>1</v>
      </c>
    </row>
    <row r="14" spans="1:8" hidden="1" x14ac:dyDescent="0.2">
      <c r="A14" s="12">
        <v>2005</v>
      </c>
      <c r="B14" s="13" t="s">
        <v>17</v>
      </c>
      <c r="C14" s="83">
        <f>(Indeks!C14/Indeks!$C$40*Indeks!$C$2)/Indeks!H14*100</f>
        <v>0.60224100698945104</v>
      </c>
      <c r="D14" s="83">
        <f>(Indeks!D14/Indeks!$D$40*Indeks!$D$2)/Indeks!H14*100</f>
        <v>0.16811812389143332</v>
      </c>
      <c r="E14" s="83">
        <f>(Indeks!E14/Indeks!$E$40*Indeks!$E$2)/Indeks!H14*100</f>
        <v>8.3540222323038177E-2</v>
      </c>
      <c r="F14" s="83">
        <f>(Indeks!F14/Indeks!$F$40*Indeks!$F$2)/Indeks!H14*100</f>
        <v>0.1005324152036743</v>
      </c>
      <c r="G14" s="83">
        <f>(Indeks!G14/Indeks!$G$40*Indeks!$G$2)/Indeks!H14*100</f>
        <v>4.5568231592403106E-2</v>
      </c>
      <c r="H14" s="83">
        <f t="shared" si="0"/>
        <v>0.99999999999999989</v>
      </c>
    </row>
    <row r="15" spans="1:8" ht="13.5" hidden="1" thickBot="1" x14ac:dyDescent="0.25">
      <c r="A15" s="38">
        <v>2005</v>
      </c>
      <c r="B15" s="39" t="s">
        <v>18</v>
      </c>
      <c r="C15" s="89">
        <f>(Indeks!C15/Indeks!$C$40*Indeks!$C$2)/Indeks!H15*100</f>
        <v>0.59712542543431646</v>
      </c>
      <c r="D15" s="89">
        <f>(Indeks!D15/Indeks!$D$40*Indeks!$D$2)/Indeks!H15*100</f>
        <v>0.17001876837336624</v>
      </c>
      <c r="E15" s="89">
        <f>(Indeks!E15/Indeks!$E$40*Indeks!$E$2)/Indeks!H15*100</f>
        <v>8.2756123401012002E-2</v>
      </c>
      <c r="F15" s="89">
        <f>(Indeks!F15/Indeks!$F$40*Indeks!$F$2)/Indeks!H15*100</f>
        <v>9.9778146891754807E-2</v>
      </c>
      <c r="G15" s="89">
        <f>(Indeks!G15/Indeks!$G$40*Indeks!$G$2)/Indeks!H15*100</f>
        <v>5.0321535899550553E-2</v>
      </c>
      <c r="H15" s="89">
        <f t="shared" si="0"/>
        <v>1</v>
      </c>
    </row>
    <row r="16" spans="1:8" hidden="1" x14ac:dyDescent="0.2">
      <c r="A16" s="56">
        <v>2006</v>
      </c>
      <c r="B16" s="57" t="s">
        <v>8</v>
      </c>
      <c r="C16" s="83">
        <f>(Indeks!C16/Indeks!$C$40*Indeks!$C$2)/Indeks!H16*100</f>
        <v>0.60394488282288639</v>
      </c>
      <c r="D16" s="83">
        <f>(Indeks!D16/Indeks!$D$40*Indeks!$D$2)/Indeks!H16*100</f>
        <v>0.16173830201757691</v>
      </c>
      <c r="E16" s="83">
        <f>(Indeks!E16/Indeks!$E$40*Indeks!$E$2)/Indeks!H16*100</f>
        <v>8.2815990126871353E-2</v>
      </c>
      <c r="F16" s="83">
        <f>(Indeks!F16/Indeks!$F$40*Indeks!$F$2)/Indeks!H16*100</f>
        <v>9.9920639096926722E-2</v>
      </c>
      <c r="G16" s="83">
        <f>(Indeks!G16/Indeks!$G$40*Indeks!$G$2)/Indeks!H16*100</f>
        <v>5.1580185935738695E-2</v>
      </c>
      <c r="H16" s="83">
        <f t="shared" si="0"/>
        <v>1</v>
      </c>
    </row>
    <row r="17" spans="1:8" hidden="1" x14ac:dyDescent="0.2">
      <c r="A17" s="12">
        <v>2006</v>
      </c>
      <c r="B17" s="13" t="s">
        <v>9</v>
      </c>
      <c r="C17" s="83">
        <f>(Indeks!C17/Indeks!$C$40*Indeks!$C$2)/Indeks!H17*100</f>
        <v>0.60577489209437663</v>
      </c>
      <c r="D17" s="83">
        <f>(Indeks!D17/Indeks!$D$40*Indeks!$D$2)/Indeks!H17*100</f>
        <v>0.16119754453041626</v>
      </c>
      <c r="E17" s="83">
        <f>(Indeks!E17/Indeks!$E$40*Indeks!$E$2)/Indeks!H17*100</f>
        <v>8.3066930293880389E-2</v>
      </c>
      <c r="F17" s="83">
        <f>(Indeks!F17/Indeks!$F$40*Indeks!$F$2)/Indeks!H17*100</f>
        <v>9.9721789285774035E-2</v>
      </c>
      <c r="G17" s="83">
        <f>(Indeks!G17/Indeks!$G$40*Indeks!$G$2)/Indeks!H17*100</f>
        <v>5.0238843795552567E-2</v>
      </c>
      <c r="H17" s="83">
        <f t="shared" si="0"/>
        <v>0.99999999999999978</v>
      </c>
    </row>
    <row r="18" spans="1:8" hidden="1" x14ac:dyDescent="0.2">
      <c r="A18" s="16">
        <v>2006</v>
      </c>
      <c r="B18" s="17" t="s">
        <v>10</v>
      </c>
      <c r="C18" s="84">
        <f>(Indeks!C18/Indeks!$C$40*Indeks!$C$2)/Indeks!H18*100</f>
        <v>0.60476960711114647</v>
      </c>
      <c r="D18" s="84">
        <f>(Indeks!D18/Indeks!$D$40*Indeks!$D$2)/Indeks!H18*100</f>
        <v>0.16221644795827478</v>
      </c>
      <c r="E18" s="84">
        <f>(Indeks!E18/Indeks!$E$40*Indeks!$E$2)/Indeks!H18*100</f>
        <v>8.2629697548409389E-2</v>
      </c>
      <c r="F18" s="84">
        <f>(Indeks!F18/Indeks!$F$40*Indeks!$F$2)/Indeks!H18*100</f>
        <v>9.9956929698074348E-2</v>
      </c>
      <c r="G18" s="84">
        <f>(Indeks!G18/Indeks!$G$40*Indeks!$G$2)/Indeks!H18*100</f>
        <v>5.0427317684094954E-2</v>
      </c>
      <c r="H18" s="84">
        <f t="shared" si="0"/>
        <v>0.99999999999999989</v>
      </c>
    </row>
    <row r="19" spans="1:8" hidden="1" x14ac:dyDescent="0.2">
      <c r="A19" s="21">
        <v>2006</v>
      </c>
      <c r="B19" s="22" t="s">
        <v>11</v>
      </c>
      <c r="C19" s="85">
        <f>(Indeks!C19/Indeks!$C$40*Indeks!$C$2)/Indeks!H19*100</f>
        <v>0.60565174143485312</v>
      </c>
      <c r="D19" s="85">
        <f>(Indeks!D19/Indeks!$D$40*Indeks!$D$2)/Indeks!H19*100</f>
        <v>0.16105234848145211</v>
      </c>
      <c r="E19" s="85">
        <f>(Indeks!E19/Indeks!$E$40*Indeks!$E$2)/Indeks!H19*100</f>
        <v>8.291988158467839E-2</v>
      </c>
      <c r="F19" s="85">
        <f>(Indeks!F19/Indeks!$F$40*Indeks!$F$2)/Indeks!H19*100</f>
        <v>9.8920309613118471E-2</v>
      </c>
      <c r="G19" s="85">
        <f>(Indeks!G19/Indeks!$G$40*Indeks!$G$2)/Indeks!H19*100</f>
        <v>5.1455718885897915E-2</v>
      </c>
      <c r="H19" s="85">
        <f t="shared" si="0"/>
        <v>1</v>
      </c>
    </row>
    <row r="20" spans="1:8" hidden="1" x14ac:dyDescent="0.2">
      <c r="A20" s="12">
        <v>2006</v>
      </c>
      <c r="B20" s="13" t="s">
        <v>12</v>
      </c>
      <c r="C20" s="83">
        <f>(Indeks!C20/Indeks!$C$40*Indeks!$C$2)/Indeks!H20*100</f>
        <v>0.60271032763559296</v>
      </c>
      <c r="D20" s="83">
        <f>(Indeks!D20/Indeks!$D$40*Indeks!$D$2)/Indeks!H20*100</f>
        <v>0.16217815850485515</v>
      </c>
      <c r="E20" s="83">
        <f>(Indeks!E20/Indeks!$E$40*Indeks!$E$2)/Indeks!H20*100</f>
        <v>8.2813197857281334E-2</v>
      </c>
      <c r="F20" s="83">
        <f>(Indeks!F20/Indeks!$F$40*Indeks!$F$2)/Indeks!H20*100</f>
        <v>9.8538926427594084E-2</v>
      </c>
      <c r="G20" s="83">
        <f>(Indeks!G20/Indeks!$G$40*Indeks!$G$2)/Indeks!H20*100</f>
        <v>5.3759389574676374E-2</v>
      </c>
      <c r="H20" s="83">
        <f t="shared" si="0"/>
        <v>1</v>
      </c>
    </row>
    <row r="21" spans="1:8" hidden="1" x14ac:dyDescent="0.2">
      <c r="A21" s="16">
        <v>2006</v>
      </c>
      <c r="B21" s="17" t="s">
        <v>13</v>
      </c>
      <c r="C21" s="84">
        <f>(Indeks!C21/Indeks!$C$40*Indeks!$C$2)/Indeks!H21*100</f>
        <v>0.6004293218563298</v>
      </c>
      <c r="D21" s="84">
        <f>(Indeks!D21/Indeks!$D$40*Indeks!$D$2)/Indeks!H21*100</f>
        <v>0.16333842247677172</v>
      </c>
      <c r="E21" s="84">
        <f>(Indeks!E21/Indeks!$E$40*Indeks!$E$2)/Indeks!H21*100</f>
        <v>8.286841638542243E-2</v>
      </c>
      <c r="F21" s="84">
        <f>(Indeks!F21/Indeks!$F$40*Indeks!$F$2)/Indeks!H21*100</f>
        <v>9.8067338629474907E-2</v>
      </c>
      <c r="G21" s="84">
        <f>(Indeks!G21/Indeks!$G$40*Indeks!$G$2)/Indeks!H21*100</f>
        <v>5.5296500652001347E-2</v>
      </c>
      <c r="H21" s="84">
        <f t="shared" si="0"/>
        <v>1.0000000000000002</v>
      </c>
    </row>
    <row r="22" spans="1:8" hidden="1" x14ac:dyDescent="0.2">
      <c r="A22" s="21">
        <v>2006</v>
      </c>
      <c r="B22" s="26" t="s">
        <v>31</v>
      </c>
      <c r="C22" s="85">
        <f>(Indeks!C22/Indeks!$C$40*Indeks!$C$2)/Indeks!H22*100</f>
        <v>0.60178874865918519</v>
      </c>
      <c r="D22" s="85">
        <f>(Indeks!D22/Indeks!$D$40*Indeks!$D$2)/Indeks!H22*100</f>
        <v>0.16419971290900576</v>
      </c>
      <c r="E22" s="85">
        <f>(Indeks!E22/Indeks!$E$40*Indeks!$E$2)/Indeks!H22*100</f>
        <v>8.2483634476023249E-2</v>
      </c>
      <c r="F22" s="85">
        <f>(Indeks!F22/Indeks!$F$40*Indeks!$F$2)/Indeks!H22*100</f>
        <v>9.6936534135910579E-2</v>
      </c>
      <c r="G22" s="85">
        <f>(Indeks!G22/Indeks!$G$40*Indeks!$G$2)/Indeks!H22*100</f>
        <v>5.4591369819875349E-2</v>
      </c>
      <c r="H22" s="85">
        <f t="shared" si="0"/>
        <v>1.0000000000000002</v>
      </c>
    </row>
    <row r="23" spans="1:8" hidden="1" x14ac:dyDescent="0.2">
      <c r="A23" s="12">
        <v>2006</v>
      </c>
      <c r="B23" s="13" t="s">
        <v>14</v>
      </c>
      <c r="C23" s="83">
        <f>(Indeks!C23/Indeks!$C$40*Indeks!$C$2)/Indeks!H23*100</f>
        <v>0.60124781101898783</v>
      </c>
      <c r="D23" s="83">
        <f>(Indeks!D23/Indeks!$D$40*Indeks!$D$2)/Indeks!H23*100</f>
        <v>0.16405211658817065</v>
      </c>
      <c r="E23" s="83">
        <f>(Indeks!E23/Indeks!$E$40*Indeks!$E$2)/Indeks!H23*100</f>
        <v>8.2629249987673292E-2</v>
      </c>
      <c r="F23" s="83">
        <f>(Indeks!F23/Indeks!$F$40*Indeks!$F$2)/Indeks!H23*100</f>
        <v>9.6065193874741939E-2</v>
      </c>
      <c r="G23" s="83">
        <f>(Indeks!G23/Indeks!$G$40*Indeks!$G$2)/Indeks!H23*100</f>
        <v>5.6005628530426316E-2</v>
      </c>
      <c r="H23" s="83">
        <f t="shared" si="0"/>
        <v>1</v>
      </c>
    </row>
    <row r="24" spans="1:8" hidden="1" x14ac:dyDescent="0.2">
      <c r="A24" s="16">
        <v>2006</v>
      </c>
      <c r="B24" s="17" t="s">
        <v>15</v>
      </c>
      <c r="C24" s="84">
        <f>(Indeks!C24/Indeks!$C$40*Indeks!$C$2)/Indeks!H24*100</f>
        <v>0.6009219316539961</v>
      </c>
      <c r="D24" s="84">
        <f>(Indeks!D24/Indeks!$D$40*Indeks!$D$2)/Indeks!H24*100</f>
        <v>0.16509571585188784</v>
      </c>
      <c r="E24" s="84">
        <f>(Indeks!E24/Indeks!$E$40*Indeks!$E$2)/Indeks!H24*100</f>
        <v>8.2364824981540491E-2</v>
      </c>
      <c r="F24" s="84">
        <f>(Indeks!F24/Indeks!$F$40*Indeks!$F$2)/Indeks!H24*100</f>
        <v>9.6307043784929686E-2</v>
      </c>
      <c r="G24" s="84">
        <f>(Indeks!G24/Indeks!$G$40*Indeks!$G$2)/Indeks!H24*100</f>
        <v>5.5310483727645812E-2</v>
      </c>
      <c r="H24" s="84">
        <f t="shared" si="0"/>
        <v>1</v>
      </c>
    </row>
    <row r="25" spans="1:8" hidden="1" x14ac:dyDescent="0.2">
      <c r="A25" s="12">
        <v>2006</v>
      </c>
      <c r="B25" s="13" t="s">
        <v>16</v>
      </c>
      <c r="C25" s="85">
        <f>(Indeks!C25/Indeks!$C$40*Indeks!$C$2)/Indeks!H25*100</f>
        <v>0.60088378917885732</v>
      </c>
      <c r="D25" s="85">
        <f>(Indeks!D25/Indeks!$D$40*Indeks!$D$2)/Indeks!H25*100</f>
        <v>0.16718280096156343</v>
      </c>
      <c r="E25" s="85">
        <f>(Indeks!E25/Indeks!$E$40*Indeks!$E$2)/Indeks!H25*100</f>
        <v>8.1724228863008799E-2</v>
      </c>
      <c r="F25" s="85">
        <f>(Indeks!F25/Indeks!$F$40*Indeks!$F$2)/Indeks!H25*100</f>
        <v>9.5460800843165008E-2</v>
      </c>
      <c r="G25" s="85">
        <f>(Indeks!G25/Indeks!$G$40*Indeks!$G$2)/Indeks!H25*100</f>
        <v>5.4748380153405593E-2</v>
      </c>
      <c r="H25" s="85">
        <f t="shared" si="0"/>
        <v>1.0000000000000002</v>
      </c>
    </row>
    <row r="26" spans="1:8" hidden="1" x14ac:dyDescent="0.2">
      <c r="A26" s="12">
        <v>2006</v>
      </c>
      <c r="B26" s="13" t="s">
        <v>17</v>
      </c>
      <c r="C26" s="83">
        <f>(Indeks!C26/Indeks!$C$40*Indeks!$C$2)/Indeks!H26*100</f>
        <v>0.60517892342156232</v>
      </c>
      <c r="D26" s="83">
        <f>(Indeks!D26/Indeks!$D$40*Indeks!$D$2)/Indeks!H26*100</f>
        <v>0.16146163672551864</v>
      </c>
      <c r="E26" s="83">
        <f>(Indeks!E26/Indeks!$E$40*Indeks!$E$2)/Indeks!H26*100</f>
        <v>8.2601048026331586E-2</v>
      </c>
      <c r="F26" s="83">
        <f>(Indeks!F26/Indeks!$F$40*Indeks!$F$2)/Indeks!H26*100</f>
        <v>9.5751535513114952E-2</v>
      </c>
      <c r="G26" s="83">
        <f>(Indeks!G26/Indeks!$G$40*Indeks!$G$2)/Indeks!H26*100</f>
        <v>5.5006856313472401E-2</v>
      </c>
      <c r="H26" s="83">
        <f t="shared" si="0"/>
        <v>0.99999999999999989</v>
      </c>
    </row>
    <row r="27" spans="1:8" ht="13.5" hidden="1" thickBot="1" x14ac:dyDescent="0.25">
      <c r="A27" s="38">
        <v>2006</v>
      </c>
      <c r="B27" s="39" t="s">
        <v>18</v>
      </c>
      <c r="C27" s="89">
        <f>(Indeks!C27/Indeks!$C$40*Indeks!$C$2)/Indeks!H27*100</f>
        <v>0.60699010960025568</v>
      </c>
      <c r="D27" s="89">
        <f>(Indeks!D27/Indeks!$D$40*Indeks!$D$2)/Indeks!H27*100</f>
        <v>0.1565214738124156</v>
      </c>
      <c r="E27" s="89">
        <f>(Indeks!E27/Indeks!$E$40*Indeks!$E$2)/Indeks!H27*100</f>
        <v>8.2774875375180648E-2</v>
      </c>
      <c r="F27" s="89">
        <f>(Indeks!F27/Indeks!$F$40*Indeks!$F$2)/Indeks!H27*100</f>
        <v>9.57435063639515E-2</v>
      </c>
      <c r="G27" s="89">
        <f>(Indeks!G27/Indeks!$G$40*Indeks!$G$2)/Indeks!H27*100</f>
        <v>5.7970034848196753E-2</v>
      </c>
      <c r="H27" s="89">
        <f t="shared" si="0"/>
        <v>1.0000000000000002</v>
      </c>
    </row>
    <row r="28" spans="1:8" hidden="1" x14ac:dyDescent="0.2">
      <c r="A28" s="56">
        <v>2007</v>
      </c>
      <c r="B28" s="57" t="s">
        <v>8</v>
      </c>
      <c r="C28" s="83">
        <f>(Indeks!C28/Indeks!$C$40*Indeks!$C$2)/Indeks!H28*100</f>
        <v>0.60940856382284836</v>
      </c>
      <c r="D28" s="83">
        <f>(Indeks!D28/Indeks!$D$40*Indeks!$D$2)/Indeks!H28*100</f>
        <v>0.15558833836690872</v>
      </c>
      <c r="E28" s="83">
        <f>(Indeks!E28/Indeks!$E$40*Indeks!$E$2)/Indeks!H28*100</f>
        <v>8.2474282867115403E-2</v>
      </c>
      <c r="F28" s="83">
        <f>(Indeks!F28/Indeks!$F$40*Indeks!$F$2)/Indeks!H28*100</f>
        <v>9.5382536090224471E-2</v>
      </c>
      <c r="G28" s="83">
        <f>(Indeks!G28/Indeks!$G$40*Indeks!$G$2)/Indeks!H28*100</f>
        <v>5.714627885290282E-2</v>
      </c>
      <c r="H28" s="83">
        <f t="shared" si="0"/>
        <v>0.99999999999999989</v>
      </c>
    </row>
    <row r="29" spans="1:8" hidden="1" x14ac:dyDescent="0.2">
      <c r="A29" s="12">
        <v>2007</v>
      </c>
      <c r="B29" s="13" t="s">
        <v>9</v>
      </c>
      <c r="C29" s="83">
        <f>(Indeks!C29/Indeks!$C$40*Indeks!$C$2)/Indeks!H29*100</f>
        <v>0.60913770868189332</v>
      </c>
      <c r="D29" s="83">
        <f>(Indeks!D29/Indeks!$D$40*Indeks!$D$2)/Indeks!H29*100</f>
        <v>0.15476484903430182</v>
      </c>
      <c r="E29" s="83">
        <f>(Indeks!E29/Indeks!$E$40*Indeks!$E$2)/Indeks!H29*100</f>
        <v>8.2510774547554219E-2</v>
      </c>
      <c r="F29" s="83">
        <f>(Indeks!F29/Indeks!$F$40*Indeks!$F$2)/Indeks!H29*100</f>
        <v>9.5535913087208824E-2</v>
      </c>
      <c r="G29" s="83">
        <f>(Indeks!G29/Indeks!$G$40*Indeks!$G$2)/Indeks!H29*100</f>
        <v>5.8050754649041809E-2</v>
      </c>
      <c r="H29" s="83">
        <f t="shared" si="0"/>
        <v>1</v>
      </c>
    </row>
    <row r="30" spans="1:8" hidden="1" x14ac:dyDescent="0.2">
      <c r="A30" s="16">
        <v>2007</v>
      </c>
      <c r="B30" s="17" t="s">
        <v>10</v>
      </c>
      <c r="C30" s="84">
        <f>(Indeks!C30/Indeks!$C$40*Indeks!$C$2)/Indeks!H30*100</f>
        <v>0.61194447432116739</v>
      </c>
      <c r="D30" s="84">
        <f>(Indeks!D30/Indeks!$D$40*Indeks!$D$2)/Indeks!H30*100</f>
        <v>0.14966806989460815</v>
      </c>
      <c r="E30" s="84">
        <f>(Indeks!E30/Indeks!$E$40*Indeks!$E$2)/Indeks!H30*100</f>
        <v>8.259702551544712E-2</v>
      </c>
      <c r="F30" s="84">
        <f>(Indeks!F30/Indeks!$F$40*Indeks!$F$2)/Indeks!H30*100</f>
        <v>9.6271129039771058E-2</v>
      </c>
      <c r="G30" s="84">
        <f>(Indeks!G30/Indeks!$G$40*Indeks!$G$2)/Indeks!H30*100</f>
        <v>5.9519301229006179E-2</v>
      </c>
      <c r="H30" s="84">
        <f t="shared" si="0"/>
        <v>0.99999999999999989</v>
      </c>
    </row>
    <row r="31" spans="1:8" hidden="1" x14ac:dyDescent="0.2">
      <c r="A31" s="12">
        <v>2007</v>
      </c>
      <c r="B31" s="13" t="s">
        <v>11</v>
      </c>
      <c r="C31" s="85">
        <f>(Indeks!C31/Indeks!$C$40*Indeks!$C$2)/Indeks!H31*100</f>
        <v>0.61053038347005051</v>
      </c>
      <c r="D31" s="85">
        <f>(Indeks!D31/Indeks!$D$40*Indeks!$D$2)/Indeks!H31*100</f>
        <v>0.15266848830628221</v>
      </c>
      <c r="E31" s="85">
        <f>(Indeks!E31/Indeks!$E$40*Indeks!$E$2)/Indeks!H31*100</f>
        <v>8.2574094434012341E-2</v>
      </c>
      <c r="F31" s="85">
        <f>(Indeks!F31/Indeks!$F$40*Indeks!$F$2)/Indeks!H31*100</f>
        <v>9.5616817113506919E-2</v>
      </c>
      <c r="G31" s="85">
        <f>(Indeks!G31/Indeks!$G$40*Indeks!$G$2)/Indeks!H31*100</f>
        <v>5.8610216676147985E-2</v>
      </c>
      <c r="H31" s="85">
        <f t="shared" si="0"/>
        <v>0.99999999999999989</v>
      </c>
    </row>
    <row r="32" spans="1:8" hidden="1" x14ac:dyDescent="0.2">
      <c r="A32" s="12">
        <v>2007</v>
      </c>
      <c r="B32" s="13" t="s">
        <v>12</v>
      </c>
      <c r="C32" s="83">
        <f>(Indeks!C32/Indeks!$C$40*Indeks!$C$2)/Indeks!H32*100</f>
        <v>0.60940360594731779</v>
      </c>
      <c r="D32" s="83">
        <f>(Indeks!D32/Indeks!$D$40*Indeks!$D$2)/Indeks!H32*100</f>
        <v>0.15363375491498699</v>
      </c>
      <c r="E32" s="83">
        <f>(Indeks!E32/Indeks!$E$40*Indeks!$E$2)/Indeks!H32*100</f>
        <v>8.2784469590554965E-2</v>
      </c>
      <c r="F32" s="83">
        <f>(Indeks!F32/Indeks!$F$40*Indeks!$F$2)/Indeks!H32*100</f>
        <v>9.5149076749615119E-2</v>
      </c>
      <c r="G32" s="83">
        <f>(Indeks!G32/Indeks!$G$40*Indeks!$G$2)/Indeks!H32*100</f>
        <v>5.902909279752503E-2</v>
      </c>
      <c r="H32" s="83">
        <f t="shared" si="0"/>
        <v>0.99999999999999989</v>
      </c>
    </row>
    <row r="33" spans="1:8" hidden="1" x14ac:dyDescent="0.2">
      <c r="A33" s="16">
        <v>2007</v>
      </c>
      <c r="B33" s="17" t="s">
        <v>13</v>
      </c>
      <c r="C33" s="84">
        <f>(Indeks!C33/Indeks!$C$40*Indeks!$C$2)/Indeks!H33*100</f>
        <v>0.60711499271718061</v>
      </c>
      <c r="D33" s="84">
        <f>(Indeks!D33/Indeks!$D$40*Indeks!$D$2)/Indeks!H33*100</f>
        <v>0.15541723750276298</v>
      </c>
      <c r="E33" s="84">
        <f>(Indeks!E33/Indeks!$E$40*Indeks!$E$2)/Indeks!H33*100</f>
        <v>8.2618136456668254E-2</v>
      </c>
      <c r="F33" s="84">
        <f>(Indeks!F33/Indeks!$F$40*Indeks!$F$2)/Indeks!H33*100</f>
        <v>9.4598292165808326E-2</v>
      </c>
      <c r="G33" s="84">
        <f>(Indeks!G33/Indeks!$G$40*Indeks!$G$2)/Indeks!H33*100</f>
        <v>6.02513411575799E-2</v>
      </c>
      <c r="H33" s="84">
        <f t="shared" si="0"/>
        <v>1</v>
      </c>
    </row>
    <row r="34" spans="1:8" hidden="1" x14ac:dyDescent="0.2">
      <c r="A34" s="12">
        <v>2007</v>
      </c>
      <c r="B34" s="86" t="s">
        <v>31</v>
      </c>
      <c r="C34" s="83">
        <f>(Indeks!C34/Indeks!$C$40*Indeks!$C$2)/Indeks!H34*100</f>
        <v>0.6081933547578543</v>
      </c>
      <c r="D34" s="83">
        <f>(Indeks!D34/Indeks!$D$40*Indeks!$D$2)/Indeks!H34*100</f>
        <v>0.15385877852387919</v>
      </c>
      <c r="E34" s="83">
        <f>(Indeks!E34/Indeks!$E$40*Indeks!$E$2)/Indeks!H34*100</f>
        <v>8.2129744247012443E-2</v>
      </c>
      <c r="F34" s="83">
        <f>(Indeks!F34/Indeks!$F$40*Indeks!$F$2)/Indeks!H34*100</f>
        <v>9.3682846528918257E-2</v>
      </c>
      <c r="G34" s="83">
        <f>(Indeks!G34/Indeks!$G$40*Indeks!$G$2)/Indeks!H34*100</f>
        <v>6.2135275942335824E-2</v>
      </c>
      <c r="H34" s="83">
        <f t="shared" si="0"/>
        <v>1</v>
      </c>
    </row>
    <row r="35" spans="1:8" hidden="1" x14ac:dyDescent="0.2">
      <c r="A35" s="12">
        <v>2007</v>
      </c>
      <c r="B35" s="13" t="s">
        <v>14</v>
      </c>
      <c r="C35" s="83">
        <f>(Indeks!C35/Indeks!$C$40*Indeks!$C$2)/Indeks!H35*100</f>
        <v>0.60504475774328026</v>
      </c>
      <c r="D35" s="83">
        <f>(Indeks!D35/Indeks!$D$40*Indeks!$D$2)/Indeks!H35*100</f>
        <v>0.15649634577493732</v>
      </c>
      <c r="E35" s="83">
        <f>(Indeks!E35/Indeks!$E$40*Indeks!$E$2)/Indeks!H35*100</f>
        <v>8.163320356410525E-2</v>
      </c>
      <c r="F35" s="83">
        <f>(Indeks!F35/Indeks!$F$40*Indeks!$F$2)/Indeks!H35*100</f>
        <v>9.3197853510513462E-2</v>
      </c>
      <c r="G35" s="83">
        <f>(Indeks!G35/Indeks!$G$40*Indeks!$G$2)/Indeks!H35*100</f>
        <v>6.362783940716385E-2</v>
      </c>
      <c r="H35" s="83">
        <f t="shared" si="0"/>
        <v>1</v>
      </c>
    </row>
    <row r="36" spans="1:8" hidden="1" x14ac:dyDescent="0.2">
      <c r="A36" s="16">
        <v>2007</v>
      </c>
      <c r="B36" s="17" t="s">
        <v>15</v>
      </c>
      <c r="C36" s="84">
        <f>(Indeks!C36/Indeks!$C$40*Indeks!$C$2)/Indeks!H36*100</f>
        <v>0.60515424145306584</v>
      </c>
      <c r="D36" s="84">
        <f>(Indeks!D36/Indeks!$D$40*Indeks!$D$2)/Indeks!H36*100</f>
        <v>0.15799668279517801</v>
      </c>
      <c r="E36" s="84">
        <f>(Indeks!E36/Indeks!$E$40*Indeks!$E$2)/Indeks!H36*100</f>
        <v>8.1291122169941402E-2</v>
      </c>
      <c r="F36" s="84">
        <f>(Indeks!F36/Indeks!$F$40*Indeks!$F$2)/Indeks!H36*100</f>
        <v>9.32147177947103E-2</v>
      </c>
      <c r="G36" s="84">
        <f>(Indeks!G36/Indeks!$G$40*Indeks!$G$2)/Indeks!H36*100</f>
        <v>6.2343235787104677E-2</v>
      </c>
      <c r="H36" s="84">
        <f t="shared" si="0"/>
        <v>1.0000000000000002</v>
      </c>
    </row>
    <row r="37" spans="1:8" hidden="1" x14ac:dyDescent="0.2">
      <c r="A37" s="12">
        <v>2007</v>
      </c>
      <c r="B37" s="13" t="s">
        <v>16</v>
      </c>
      <c r="C37" s="83">
        <f>(Indeks!C37/Indeks!$C$40*Indeks!$C$2)/Indeks!H37*100</f>
        <v>0.60854985000501993</v>
      </c>
      <c r="D37" s="83">
        <f>(Indeks!D37/Indeks!$D$40*Indeks!$D$2)/Indeks!H37*100</f>
        <v>0.15613380869231785</v>
      </c>
      <c r="E37" s="83">
        <f>(Indeks!E37/Indeks!$E$40*Indeks!$E$2)/Indeks!H37*100</f>
        <v>8.0692791128711541E-2</v>
      </c>
      <c r="F37" s="83">
        <f>(Indeks!F37/Indeks!$F$40*Indeks!$F$2)/Indeks!H37*100</f>
        <v>9.2501442800379863E-2</v>
      </c>
      <c r="G37" s="83">
        <f>(Indeks!G37/Indeks!$G$40*Indeks!$G$2)/Indeks!H37*100</f>
        <v>6.2122107373570809E-2</v>
      </c>
      <c r="H37" s="83">
        <f t="shared" si="0"/>
        <v>1</v>
      </c>
    </row>
    <row r="38" spans="1:8" hidden="1" x14ac:dyDescent="0.2">
      <c r="A38" s="12">
        <v>2007</v>
      </c>
      <c r="B38" s="13" t="s">
        <v>17</v>
      </c>
      <c r="C38" s="83">
        <f>(Indeks!C38/Indeks!$C$40*Indeks!$C$2)/Indeks!H38*100</f>
        <v>0.606139213087725</v>
      </c>
      <c r="D38" s="83">
        <f>(Indeks!D38/Indeks!$D$40*Indeks!$D$2)/Indeks!H38*100</f>
        <v>0.15879572006924017</v>
      </c>
      <c r="E38" s="83">
        <f>(Indeks!E38/Indeks!$E$40*Indeks!$E$2)/Indeks!H38*100</f>
        <v>8.0797277001495832E-2</v>
      </c>
      <c r="F38" s="83">
        <f>(Indeks!F38/Indeks!$F$40*Indeks!$F$2)/Indeks!H38*100</f>
        <v>9.2135018598786853E-2</v>
      </c>
      <c r="G38" s="83">
        <f>(Indeks!G38/Indeks!$G$40*Indeks!$G$2)/Indeks!H38*100</f>
        <v>6.2132771242752176E-2</v>
      </c>
      <c r="H38" s="83">
        <f t="shared" si="0"/>
        <v>1</v>
      </c>
    </row>
    <row r="39" spans="1:8" ht="13.5" hidden="1" thickBot="1" x14ac:dyDescent="0.25">
      <c r="A39" s="38">
        <v>2007</v>
      </c>
      <c r="B39" s="39" t="s">
        <v>18</v>
      </c>
      <c r="C39" s="89">
        <f>(Indeks!C39/Indeks!$C$40*Indeks!$C$2)/Indeks!H39*100</f>
        <v>0.60550614902089706</v>
      </c>
      <c r="D39" s="89">
        <f>(Indeks!D39/Indeks!$D$40*Indeks!$D$2)/Indeks!H39*100</f>
        <v>0.15935808730150972</v>
      </c>
      <c r="E39" s="89">
        <f>(Indeks!E39/Indeks!$E$40*Indeks!$E$2)/Indeks!H39*100</f>
        <v>8.0995350499406107E-2</v>
      </c>
      <c r="F39" s="89">
        <f>(Indeks!F39/Indeks!$F$40*Indeks!$F$2)/Indeks!H39*100</f>
        <v>9.1944295241314908E-2</v>
      </c>
      <c r="G39" s="89">
        <f>(Indeks!G39/Indeks!$G$40*Indeks!$G$2)/Indeks!H39*100</f>
        <v>6.2196117936872256E-2</v>
      </c>
      <c r="H39" s="89">
        <f t="shared" si="0"/>
        <v>1</v>
      </c>
    </row>
    <row r="40" spans="1:8" s="2" customFormat="1" ht="14.1" hidden="1" customHeight="1" x14ac:dyDescent="0.2">
      <c r="A40" s="8">
        <v>2008</v>
      </c>
      <c r="B40" s="8" t="s">
        <v>8</v>
      </c>
      <c r="C40" s="90">
        <f>(Indeks!C40/Indeks!$C$40*Indeks!$C$2)/Indeks!H40*100</f>
        <v>0.6</v>
      </c>
      <c r="D40" s="90">
        <f>(Indeks!D40/Indeks!$D$40*Indeks!$D$2)/Indeks!H40*100</f>
        <v>0.17</v>
      </c>
      <c r="E40" s="90">
        <f>(Indeks!E40/Indeks!$E$40*Indeks!$E$2)/Indeks!H40*100</f>
        <v>0.08</v>
      </c>
      <c r="F40" s="90">
        <f>(Indeks!F40/Indeks!$F$40*Indeks!$F$2)/Indeks!H40*100</f>
        <v>0.09</v>
      </c>
      <c r="G40" s="90">
        <f>(Indeks!G40/Indeks!$G$40*Indeks!$G$2)/Indeks!H40*100</f>
        <v>0.06</v>
      </c>
      <c r="H40" s="90">
        <f>SUM(C40:G40)</f>
        <v>1</v>
      </c>
    </row>
    <row r="41" spans="1:8" ht="14.1" hidden="1" customHeight="1" x14ac:dyDescent="0.2">
      <c r="A41" s="12">
        <f>A40</f>
        <v>2008</v>
      </c>
      <c r="B41" s="13" t="s">
        <v>9</v>
      </c>
      <c r="C41" s="83">
        <f>(Indeks!C41/Indeks!$C$40*Indeks!$C$2)/Indeks!H41*100</f>
        <v>0.6037222692680847</v>
      </c>
      <c r="D41" s="83">
        <f>(Indeks!D41/Indeks!$D$40*Indeks!$D$2)/Indeks!H41*100</f>
        <v>0.16326854226436496</v>
      </c>
      <c r="E41" s="83">
        <f>(Indeks!E41/Indeks!$E$40*Indeks!$E$2)/Indeks!H41*100</f>
        <v>8.0426608800619886E-2</v>
      </c>
      <c r="F41" s="83">
        <f>(Indeks!F41/Indeks!$F$40*Indeks!$F$2)/Indeks!H41*100</f>
        <v>9.0185288524547561E-2</v>
      </c>
      <c r="G41" s="83">
        <f>(Indeks!G41/Indeks!$G$40*Indeks!$G$2)/Indeks!H41*100</f>
        <v>6.2397291142382759E-2</v>
      </c>
      <c r="H41" s="83">
        <f>SUM(C41:G41)</f>
        <v>0.99999999999999989</v>
      </c>
    </row>
    <row r="42" spans="1:8" ht="14.1" hidden="1" customHeight="1" x14ac:dyDescent="0.2">
      <c r="A42" s="16">
        <f t="shared" ref="A42:A51" si="1">A41</f>
        <v>2008</v>
      </c>
      <c r="B42" s="17" t="s">
        <v>10</v>
      </c>
      <c r="C42" s="84">
        <f>(Indeks!C42/Indeks!$C$40*Indeks!$C$2)/Indeks!H42*100</f>
        <v>0.60286809743575787</v>
      </c>
      <c r="D42" s="84">
        <f>(Indeks!D42/Indeks!$D$40*Indeks!$D$2)/Indeks!H42*100</f>
        <v>0.16770259377081992</v>
      </c>
      <c r="E42" s="84">
        <f>(Indeks!E42/Indeks!$E$40*Indeks!$E$2)/Indeks!H42*100</f>
        <v>8.0521603316960677E-2</v>
      </c>
      <c r="F42" s="84">
        <f>(Indeks!F42/Indeks!$F$40*Indeks!$F$2)/Indeks!H42*100</f>
        <v>9.0895869685473668E-2</v>
      </c>
      <c r="G42" s="84">
        <f>(Indeks!G42/Indeks!$G$40*Indeks!$G$2)/Indeks!H42*100</f>
        <v>5.8011835790988016E-2</v>
      </c>
      <c r="H42" s="84">
        <f t="shared" ref="H42:H51" si="2">SUM(C42:G42)</f>
        <v>1.0000000000000002</v>
      </c>
    </row>
    <row r="43" spans="1:8" ht="14.1" hidden="1" customHeight="1" x14ac:dyDescent="0.2">
      <c r="A43" s="21">
        <f t="shared" si="1"/>
        <v>2008</v>
      </c>
      <c r="B43" s="22" t="s">
        <v>11</v>
      </c>
      <c r="C43" s="85">
        <f>(Indeks!C43/Indeks!$C$40*Indeks!$C$2)/Indeks!H43*100</f>
        <v>0.60509672081169275</v>
      </c>
      <c r="D43" s="85">
        <f>(Indeks!D43/Indeks!$D$40*Indeks!$D$2)/Indeks!H43*100</f>
        <v>0.16716193467208848</v>
      </c>
      <c r="E43" s="85">
        <f>(Indeks!E43/Indeks!$E$40*Indeks!$E$2)/Indeks!H43*100</f>
        <v>8.0829627924801584E-2</v>
      </c>
      <c r="F43" s="85">
        <f>(Indeks!F43/Indeks!$F$40*Indeks!$F$2)/Indeks!H43*100</f>
        <v>8.9875599775733464E-2</v>
      </c>
      <c r="G43" s="85">
        <f>(Indeks!G43/Indeks!$G$40*Indeks!$G$2)/Indeks!H43*100</f>
        <v>5.7036116815683734E-2</v>
      </c>
      <c r="H43" s="85">
        <f t="shared" si="2"/>
        <v>1</v>
      </c>
    </row>
    <row r="44" spans="1:8" ht="14.1" hidden="1" customHeight="1" x14ac:dyDescent="0.2">
      <c r="A44" s="12">
        <f t="shared" si="1"/>
        <v>2008</v>
      </c>
      <c r="B44" s="13" t="s">
        <v>12</v>
      </c>
      <c r="C44" s="83">
        <f>(Indeks!C44/Indeks!$C$40*Indeks!$C$2)/Indeks!H44*100</f>
        <v>0.59759071820588605</v>
      </c>
      <c r="D44" s="83">
        <f>(Indeks!D44/Indeks!$D$40*Indeks!$D$2)/Indeks!H44*100</f>
        <v>0.1750475502328161</v>
      </c>
      <c r="E44" s="83">
        <f>(Indeks!E44/Indeks!$E$40*Indeks!$E$2)/Indeks!H44*100</f>
        <v>8.0167815630538319E-2</v>
      </c>
      <c r="F44" s="83">
        <f>(Indeks!F44/Indeks!$F$40*Indeks!$F$2)/Indeks!H44*100</f>
        <v>8.8760725966451931E-2</v>
      </c>
      <c r="G44" s="83">
        <f>(Indeks!G44/Indeks!$G$40*Indeks!$G$2)/Indeks!H44*100</f>
        <v>5.8433189964307478E-2</v>
      </c>
      <c r="H44" s="83">
        <f t="shared" si="2"/>
        <v>0.99999999999999978</v>
      </c>
    </row>
    <row r="45" spans="1:8" ht="14.1" hidden="1" customHeight="1" x14ac:dyDescent="0.2">
      <c r="A45" s="16">
        <f t="shared" si="1"/>
        <v>2008</v>
      </c>
      <c r="B45" s="17" t="s">
        <v>13</v>
      </c>
      <c r="C45" s="84">
        <f>(Indeks!C45/Indeks!$C$40*Indeks!$C$2)/Indeks!H45*100</f>
        <v>0.59494076192632961</v>
      </c>
      <c r="D45" s="84">
        <f>(Indeks!D45/Indeks!$D$40*Indeks!$D$2)/Indeks!H45*100</f>
        <v>0.1759043839489014</v>
      </c>
      <c r="E45" s="84">
        <f>(Indeks!E45/Indeks!$E$40*Indeks!$E$2)/Indeks!H45*100</f>
        <v>8.0083789943459341E-2</v>
      </c>
      <c r="F45" s="84">
        <f>(Indeks!F45/Indeks!$F$40*Indeks!$F$2)/Indeks!H45*100</f>
        <v>8.8185486913374966E-2</v>
      </c>
      <c r="G45" s="84">
        <f>(Indeks!G45/Indeks!$G$40*Indeks!$G$2)/Indeks!H45*100</f>
        <v>6.0885577267934643E-2</v>
      </c>
      <c r="H45" s="84">
        <f t="shared" si="2"/>
        <v>1</v>
      </c>
    </row>
    <row r="46" spans="1:8" ht="14.1" hidden="1" customHeight="1" x14ac:dyDescent="0.2">
      <c r="A46" s="21">
        <f t="shared" si="1"/>
        <v>2008</v>
      </c>
      <c r="B46" s="26" t="s">
        <v>31</v>
      </c>
      <c r="C46" s="85">
        <f>(Indeks!C46/Indeks!$C$40*Indeks!$C$2)/Indeks!H46*100</f>
        <v>0.59048233719361365</v>
      </c>
      <c r="D46" s="85">
        <f>(Indeks!D46/Indeks!$D$40*Indeks!$D$2)/Indeks!H46*100</f>
        <v>0.18076523689568158</v>
      </c>
      <c r="E46" s="85">
        <f>(Indeks!E46/Indeks!$E$40*Indeks!$E$2)/Indeks!H46*100</f>
        <v>7.896274047966316E-2</v>
      </c>
      <c r="F46" s="85">
        <f>(Indeks!F46/Indeks!$F$40*Indeks!$F$2)/Indeks!H46*100</f>
        <v>8.6568027339674419E-2</v>
      </c>
      <c r="G46" s="85">
        <f>(Indeks!G46/Indeks!$G$40*Indeks!$G$2)/Indeks!H46*100</f>
        <v>6.3221658091367219E-2</v>
      </c>
      <c r="H46" s="85">
        <f t="shared" si="2"/>
        <v>1</v>
      </c>
    </row>
    <row r="47" spans="1:8" ht="14.1" hidden="1" customHeight="1" x14ac:dyDescent="0.2">
      <c r="A47" s="12">
        <f t="shared" si="1"/>
        <v>2008</v>
      </c>
      <c r="B47" s="13" t="s">
        <v>14</v>
      </c>
      <c r="C47" s="83">
        <f>(Indeks!C47/Indeks!$C$40*Indeks!$C$2)/Indeks!H47*100</f>
        <v>0.58317223935229101</v>
      </c>
      <c r="D47" s="83">
        <f>(Indeks!D47/Indeks!$D$40*Indeks!$D$2)/Indeks!H47*100</f>
        <v>0.18735752912824488</v>
      </c>
      <c r="E47" s="83">
        <f>(Indeks!E47/Indeks!$E$40*Indeks!$E$2)/Indeks!H47*100</f>
        <v>7.8248655065524378E-2</v>
      </c>
      <c r="F47" s="83">
        <f>(Indeks!F47/Indeks!$F$40*Indeks!$F$2)/Indeks!H47*100</f>
        <v>8.5672607020119085E-2</v>
      </c>
      <c r="G47" s="83">
        <f>(Indeks!G47/Indeks!$G$40*Indeks!$G$2)/Indeks!H47*100</f>
        <v>6.5548969433820672E-2</v>
      </c>
      <c r="H47" s="83">
        <f t="shared" si="2"/>
        <v>1</v>
      </c>
    </row>
    <row r="48" spans="1:8" ht="14.1" hidden="1" customHeight="1" x14ac:dyDescent="0.2">
      <c r="A48" s="16">
        <f t="shared" si="1"/>
        <v>2008</v>
      </c>
      <c r="B48" s="17" t="s">
        <v>15</v>
      </c>
      <c r="C48" s="84">
        <f>(Indeks!C48/Indeks!$C$40*Indeks!$C$2)/Indeks!H48*100</f>
        <v>0.58349539745158108</v>
      </c>
      <c r="D48" s="84">
        <f>(Indeks!D48/Indeks!$D$40*Indeks!$D$2)/Indeks!H48*100</f>
        <v>0.18825423900920157</v>
      </c>
      <c r="E48" s="84">
        <f>(Indeks!E48/Indeks!$E$40*Indeks!$E$2)/Indeks!H48*100</f>
        <v>7.8028406165415481E-2</v>
      </c>
      <c r="F48" s="84">
        <f>(Indeks!F48/Indeks!$F$40*Indeks!$F$2)/Indeks!H48*100</f>
        <v>8.6072839033768347E-2</v>
      </c>
      <c r="G48" s="84">
        <f>(Indeks!G48/Indeks!$G$40*Indeks!$G$2)/Indeks!H48*100</f>
        <v>6.4149118340033562E-2</v>
      </c>
      <c r="H48" s="84">
        <f t="shared" si="2"/>
        <v>1</v>
      </c>
    </row>
    <row r="49" spans="1:8" ht="14.1" hidden="1" customHeight="1" x14ac:dyDescent="0.2">
      <c r="A49" s="21">
        <f t="shared" si="1"/>
        <v>2008</v>
      </c>
      <c r="B49" s="22" t="s">
        <v>16</v>
      </c>
      <c r="C49" s="85">
        <f>(Indeks!C49/Indeks!$C$40*Indeks!$C$2)/Indeks!H49*100</f>
        <v>0.59653417421525201</v>
      </c>
      <c r="D49" s="85">
        <f>(Indeks!D49/Indeks!$D$40*Indeks!$D$2)/Indeks!H49*100</f>
        <v>0.17542588079092694</v>
      </c>
      <c r="E49" s="85">
        <f>(Indeks!E49/Indeks!$E$40*Indeks!$E$2)/Indeks!H49*100</f>
        <v>7.8911497306830142E-2</v>
      </c>
      <c r="F49" s="85">
        <f>(Indeks!F49/Indeks!$F$40*Indeks!$F$2)/Indeks!H49*100</f>
        <v>8.6900182674933019E-2</v>
      </c>
      <c r="G49" s="85">
        <f>(Indeks!G49/Indeks!$G$40*Indeks!$G$2)/Indeks!H49*100</f>
        <v>6.2228265012057929E-2</v>
      </c>
      <c r="H49" s="85">
        <f t="shared" si="2"/>
        <v>1</v>
      </c>
    </row>
    <row r="50" spans="1:8" ht="14.1" hidden="1" customHeight="1" x14ac:dyDescent="0.2">
      <c r="A50" s="12">
        <f t="shared" si="1"/>
        <v>2008</v>
      </c>
      <c r="B50" s="13" t="s">
        <v>17</v>
      </c>
      <c r="C50" s="83">
        <f>(Indeks!C50/Indeks!$C$40*Indeks!$C$2)/Indeks!H50*100</f>
        <v>0.59673730282125037</v>
      </c>
      <c r="D50" s="83">
        <f>(Indeks!D50/Indeks!$D$40*Indeks!$D$2)/Indeks!H50*100</f>
        <v>0.17445603924253902</v>
      </c>
      <c r="E50" s="83">
        <f>(Indeks!E50/Indeks!$E$40*Indeks!$E$2)/Indeks!H50*100</f>
        <v>7.9271160269587429E-2</v>
      </c>
      <c r="F50" s="83">
        <f>(Indeks!F50/Indeks!$F$40*Indeks!$F$2)/Indeks!H50*100</f>
        <v>8.7286043020723819E-2</v>
      </c>
      <c r="G50" s="83">
        <f>(Indeks!G50/Indeks!$G$40*Indeks!$G$2)/Indeks!H50*100</f>
        <v>6.2249454645899482E-2</v>
      </c>
      <c r="H50" s="83">
        <f t="shared" si="2"/>
        <v>1.0000000000000002</v>
      </c>
    </row>
    <row r="51" spans="1:8" ht="14.1" hidden="1" customHeight="1" thickBot="1" x14ac:dyDescent="0.25">
      <c r="A51" s="38">
        <f t="shared" si="1"/>
        <v>2008</v>
      </c>
      <c r="B51" s="39" t="s">
        <v>18</v>
      </c>
      <c r="C51" s="89">
        <f>(Indeks!C51/Indeks!$C$40*Indeks!$C$2)/Indeks!H51*100</f>
        <v>0.60105446764492776</v>
      </c>
      <c r="D51" s="89">
        <f>(Indeks!D51/Indeks!$D$40*Indeks!$D$2)/Indeks!H51*100</f>
        <v>0.16361953405577373</v>
      </c>
      <c r="E51" s="89">
        <f>(Indeks!E51/Indeks!$E$40*Indeks!$E$2)/Indeks!H51*100</f>
        <v>7.9710576590961341E-2</v>
      </c>
      <c r="F51" s="89">
        <f>(Indeks!F51/Indeks!$F$40*Indeks!$F$2)/Indeks!H51*100</f>
        <v>8.9263200350614386E-2</v>
      </c>
      <c r="G51" s="89">
        <f>(Indeks!G51/Indeks!$G$40*Indeks!$G$2)/Indeks!H51*100</f>
        <v>6.6352221357722757E-2</v>
      </c>
      <c r="H51" s="89">
        <f t="shared" si="2"/>
        <v>1</v>
      </c>
    </row>
    <row r="52" spans="1:8" ht="14.1" hidden="1" customHeight="1" x14ac:dyDescent="0.2">
      <c r="A52" s="56">
        <v>2009</v>
      </c>
      <c r="B52" s="57" t="s">
        <v>8</v>
      </c>
      <c r="C52" s="58">
        <f>(Indeks!C52/Indeks!$C$40*Indeks!$C$2)/Indeks!H52*100</f>
        <v>0.61209827620496648</v>
      </c>
      <c r="D52" s="58">
        <f>(Indeks!D52/Indeks!$D$40*Indeks!$D$2)/Indeks!H52*100</f>
        <v>0.15594702694224746</v>
      </c>
      <c r="E52" s="58">
        <f>(Indeks!E52/Indeks!$E$40*Indeks!$E$2)/Indeks!H52*100</f>
        <v>8.018563292930736E-2</v>
      </c>
      <c r="F52" s="58">
        <f>(Indeks!F52/Indeks!$F$40*Indeks!$F$2)/Indeks!H52*100</f>
        <v>9.0746123594251243E-2</v>
      </c>
      <c r="G52" s="58">
        <f>(Indeks!G52/Indeks!$G$40*Indeks!$G$2)/Indeks!H52*100</f>
        <v>6.1022940329227449E-2</v>
      </c>
      <c r="H52" s="58">
        <f t="shared" ref="H52:H58" si="3">SUM(C52:G52)</f>
        <v>1</v>
      </c>
    </row>
    <row r="53" spans="1:8" ht="14.1" hidden="1" customHeight="1" x14ac:dyDescent="0.2">
      <c r="A53" s="12">
        <f>A52</f>
        <v>2009</v>
      </c>
      <c r="B53" s="13" t="s">
        <v>9</v>
      </c>
      <c r="C53" s="83">
        <f>(Indeks!C53/Indeks!$C$40*Indeks!$C$2)/Indeks!H53*100</f>
        <v>0.62431006852098359</v>
      </c>
      <c r="D53" s="83">
        <f>(Indeks!D53/Indeks!$D$40*Indeks!$D$2)/Indeks!H53*100</f>
        <v>0.14602071617330725</v>
      </c>
      <c r="E53" s="83">
        <f>(Indeks!E53/Indeks!$E$40*Indeks!$E$2)/Indeks!H53*100</f>
        <v>8.1509556796623001E-2</v>
      </c>
      <c r="F53" s="83">
        <f>(Indeks!F53/Indeks!$F$40*Indeks!$F$2)/Indeks!H53*100</f>
        <v>9.2556572762132125E-2</v>
      </c>
      <c r="G53" s="83">
        <f>(Indeks!G53/Indeks!$G$40*Indeks!$G$2)/Indeks!H53*100</f>
        <v>5.5603085746954044E-2</v>
      </c>
      <c r="H53" s="83">
        <f t="shared" si="3"/>
        <v>1</v>
      </c>
    </row>
    <row r="54" spans="1:8" ht="14.1" hidden="1" customHeight="1" x14ac:dyDescent="0.2">
      <c r="A54" s="16">
        <f t="shared" ref="A54:A63" si="4">A53</f>
        <v>2009</v>
      </c>
      <c r="B54" s="17" t="s">
        <v>10</v>
      </c>
      <c r="C54" s="84">
        <f>(Indeks!C54/Indeks!$C$40*Indeks!$C$2)/Indeks!H54*100</f>
        <v>0.62682845992187919</v>
      </c>
      <c r="D54" s="84">
        <f>(Indeks!D54/Indeks!$D$40*Indeks!$D$2)/Indeks!H54*100</f>
        <v>0.14458672200935604</v>
      </c>
      <c r="E54" s="84">
        <f>(Indeks!E54/Indeks!$E$40*Indeks!$E$2)/Indeks!H54*100</f>
        <v>8.1561407749565037E-2</v>
      </c>
      <c r="F54" s="84">
        <f>(Indeks!F54/Indeks!$F$40*Indeks!$F$2)/Indeks!H54*100</f>
        <v>9.1447503134238772E-2</v>
      </c>
      <c r="G54" s="84">
        <f>(Indeks!G54/Indeks!$G$40*Indeks!$G$2)/Indeks!H54*100</f>
        <v>5.5575907184961248E-2</v>
      </c>
      <c r="H54" s="84">
        <f t="shared" si="3"/>
        <v>1.0000000000000002</v>
      </c>
    </row>
    <row r="55" spans="1:8" ht="14.1" hidden="1" customHeight="1" x14ac:dyDescent="0.2">
      <c r="A55" s="21">
        <f t="shared" si="4"/>
        <v>2009</v>
      </c>
      <c r="B55" s="22" t="s">
        <v>11</v>
      </c>
      <c r="C55" s="85">
        <f>(Indeks!C55/Indeks!$C$40*Indeks!$C$2)/Indeks!H55*100</f>
        <v>0.62975652138231064</v>
      </c>
      <c r="D55" s="85">
        <f>(Indeks!D55/Indeks!$D$40*Indeks!$D$2)/Indeks!H55*100</f>
        <v>0.14328237660383619</v>
      </c>
      <c r="E55" s="85">
        <f>(Indeks!E55/Indeks!$E$40*Indeks!$E$2)/Indeks!H55*100</f>
        <v>8.226104232240096E-2</v>
      </c>
      <c r="F55" s="85">
        <f>(Indeks!F55/Indeks!$F$40*Indeks!$F$2)/Indeks!H55*100</f>
        <v>9.273316935212364E-2</v>
      </c>
      <c r="G55" s="85">
        <f>(Indeks!G55/Indeks!$G$40*Indeks!$G$2)/Indeks!H55*100</f>
        <v>5.1966890339328525E-2</v>
      </c>
      <c r="H55" s="85">
        <f t="shared" si="3"/>
        <v>1</v>
      </c>
    </row>
    <row r="56" spans="1:8" ht="14.1" hidden="1" customHeight="1" x14ac:dyDescent="0.2">
      <c r="A56" s="12">
        <f t="shared" si="4"/>
        <v>2009</v>
      </c>
      <c r="B56" s="13" t="s">
        <v>12</v>
      </c>
      <c r="C56" s="83">
        <f>(Indeks!C56/Indeks!$C$40*Indeks!$C$2)/Indeks!H56*100</f>
        <v>0.63296743858849247</v>
      </c>
      <c r="D56" s="83">
        <f>(Indeks!D56/Indeks!$D$40*Indeks!$D$2)/Indeks!H56*100</f>
        <v>0.14103499060019578</v>
      </c>
      <c r="E56" s="83">
        <f>(Indeks!E56/Indeks!$E$40*Indeks!$E$2)/Indeks!H56*100</f>
        <v>8.2957682431663071E-2</v>
      </c>
      <c r="F56" s="83">
        <f>(Indeks!F56/Indeks!$F$40*Indeks!$F$2)/Indeks!H56*100</f>
        <v>9.3576953761961554E-2</v>
      </c>
      <c r="G56" s="83">
        <f>(Indeks!G56/Indeks!$G$40*Indeks!$G$2)/Indeks!H56*100</f>
        <v>4.9462934617687235E-2</v>
      </c>
      <c r="H56" s="83">
        <f t="shared" si="3"/>
        <v>1</v>
      </c>
    </row>
    <row r="57" spans="1:8" ht="14.1" hidden="1" customHeight="1" x14ac:dyDescent="0.2">
      <c r="A57" s="16">
        <f t="shared" si="4"/>
        <v>2009</v>
      </c>
      <c r="B57" s="17" t="s">
        <v>13</v>
      </c>
      <c r="C57" s="84">
        <f>(Indeks!C57/Indeks!$C$40*Indeks!$C$2)/Indeks!H57*100</f>
        <v>0.6310994304982942</v>
      </c>
      <c r="D57" s="84">
        <f>(Indeks!D57/Indeks!$D$40*Indeks!$D$2)/Indeks!H57*100</f>
        <v>0.14525063758930537</v>
      </c>
      <c r="E57" s="84">
        <f>(Indeks!E57/Indeks!$E$40*Indeks!$E$2)/Indeks!H57*100</f>
        <v>8.2643758296556818E-2</v>
      </c>
      <c r="F57" s="84">
        <f>(Indeks!F57/Indeks!$F$40*Indeks!$F$2)/Indeks!H57*100</f>
        <v>9.2191167379316888E-2</v>
      </c>
      <c r="G57" s="84">
        <f>(Indeks!G57/Indeks!$G$40*Indeks!$G$2)/Indeks!H57*100</f>
        <v>4.8815006236526765E-2</v>
      </c>
      <c r="H57" s="84">
        <f t="shared" si="3"/>
        <v>1</v>
      </c>
    </row>
    <row r="58" spans="1:8" ht="14.1" hidden="1" customHeight="1" x14ac:dyDescent="0.2">
      <c r="A58" s="21">
        <f t="shared" si="4"/>
        <v>2009</v>
      </c>
      <c r="B58" s="26" t="s">
        <v>31</v>
      </c>
      <c r="C58" s="85">
        <f>(Indeks!C58/Indeks!$C$40*Indeks!$C$2)/Indeks!H58*100</f>
        <v>0.63288553231685318</v>
      </c>
      <c r="D58" s="85">
        <f>(Indeks!D58/Indeks!$D$40*Indeks!$D$2)/Indeks!H58*100</f>
        <v>0.14557331848852614</v>
      </c>
      <c r="E58" s="85">
        <f>(Indeks!E58/Indeks!$E$40*Indeks!$E$2)/Indeks!H58*100</f>
        <v>8.2294932720904254E-2</v>
      </c>
      <c r="F58" s="85">
        <f>(Indeks!F58/Indeks!$F$40*Indeks!$F$2)/Indeks!H58*100</f>
        <v>9.1756043034506726E-2</v>
      </c>
      <c r="G58" s="85">
        <f>(Indeks!G58/Indeks!$G$40*Indeks!$G$2)/Indeks!H58*100</f>
        <v>4.7490173439209714E-2</v>
      </c>
      <c r="H58" s="85">
        <f t="shared" si="3"/>
        <v>1</v>
      </c>
    </row>
    <row r="59" spans="1:8" ht="14.1" hidden="1" customHeight="1" x14ac:dyDescent="0.2">
      <c r="A59" s="12">
        <f t="shared" si="4"/>
        <v>2009</v>
      </c>
      <c r="B59" s="13" t="s">
        <v>14</v>
      </c>
      <c r="C59" s="83">
        <f>(Indeks!C59/Indeks!$C$40*Indeks!$C$2)/Indeks!H59*100</f>
        <v>0.63145780637370053</v>
      </c>
      <c r="D59" s="83">
        <f>(Indeks!D59/Indeks!$D$40*Indeks!$D$2)/Indeks!H59*100</f>
        <v>0.15007072341601863</v>
      </c>
      <c r="E59" s="83">
        <f>(Indeks!E59/Indeks!$E$40*Indeks!$E$2)/Indeks!H59*100</f>
        <v>8.2314728063796652E-2</v>
      </c>
      <c r="F59" s="83">
        <f>(Indeks!F59/Indeks!$F$40*Indeks!$F$2)/Indeks!H59*100</f>
        <v>9.0266080974917673E-2</v>
      </c>
      <c r="G59" s="83">
        <f>(Indeks!G59/Indeks!$G$40*Indeks!$G$2)/Indeks!H59*100</f>
        <v>4.5890661171566538E-2</v>
      </c>
      <c r="H59" s="83">
        <f>SUM(C59:G59)</f>
        <v>1.0000000000000002</v>
      </c>
    </row>
    <row r="60" spans="1:8" ht="14.1" hidden="1" customHeight="1" x14ac:dyDescent="0.2">
      <c r="A60" s="63">
        <f t="shared" si="4"/>
        <v>2009</v>
      </c>
      <c r="B60" s="64" t="s">
        <v>15</v>
      </c>
      <c r="C60" s="91">
        <f>(Indeks!C60/Indeks!$C$40*Indeks!$C$2)/Indeks!H60*100</f>
        <v>0.63567393407259898</v>
      </c>
      <c r="D60" s="91">
        <f>(Indeks!D60/Indeks!$D$40*Indeks!$D$2)/Indeks!H60*100</f>
        <v>0.14787353107986412</v>
      </c>
      <c r="E60" s="91">
        <f>(Indeks!E60/Indeks!$E$40*Indeks!$E$2)/Indeks!H60*100</f>
        <v>8.2450696117257541E-2</v>
      </c>
      <c r="F60" s="91">
        <f>(Indeks!F60/Indeks!$F$40*Indeks!$F$2)/Indeks!H60*100</f>
        <v>9.0684265886129517E-2</v>
      </c>
      <c r="G60" s="91">
        <f>(Indeks!G60/Indeks!$G$40*Indeks!$G$2)/Indeks!H60*100</f>
        <v>4.3317572844149839E-2</v>
      </c>
      <c r="H60" s="91">
        <f>SUM(C60:G60)</f>
        <v>1</v>
      </c>
    </row>
    <row r="61" spans="1:8" ht="14.1" hidden="1" customHeight="1" x14ac:dyDescent="0.2">
      <c r="A61" s="32">
        <f t="shared" si="4"/>
        <v>2009</v>
      </c>
      <c r="B61" s="67" t="s">
        <v>16</v>
      </c>
      <c r="C61" s="92">
        <f>(Indeks!C61/Indeks!$C$40*Indeks!$C$2)/Indeks!H61*100</f>
        <v>0.63203828000673312</v>
      </c>
      <c r="D61" s="92">
        <f>(Indeks!D61/Indeks!$D$40*Indeks!$D$2)/Indeks!H61*100</f>
        <v>0.15488875429020171</v>
      </c>
      <c r="E61" s="92">
        <f>(Indeks!E61/Indeks!$E$40*Indeks!$E$2)/Indeks!H61*100</f>
        <v>8.2042820799426514E-2</v>
      </c>
      <c r="F61" s="92">
        <f>(Indeks!F61/Indeks!$F$40*Indeks!$F$2)/Indeks!H61*100</f>
        <v>8.927735052068661E-2</v>
      </c>
      <c r="G61" s="92">
        <f>(Indeks!G61/Indeks!$G$40*Indeks!$G$2)/Indeks!H61*100</f>
        <v>4.1752794382952048E-2</v>
      </c>
      <c r="H61" s="92">
        <f>SUM(C61:G61)</f>
        <v>1</v>
      </c>
    </row>
    <row r="62" spans="1:8" ht="14.1" hidden="1" customHeight="1" x14ac:dyDescent="0.2">
      <c r="A62" s="32">
        <f t="shared" si="4"/>
        <v>2009</v>
      </c>
      <c r="B62" s="67" t="s">
        <v>17</v>
      </c>
      <c r="C62" s="92">
        <f>(Indeks!C62/Indeks!$C$40*Indeks!$C$2)/Indeks!H62*100</f>
        <v>0.63572805267938604</v>
      </c>
      <c r="D62" s="92">
        <f>(Indeks!D62/Indeks!$D$40*Indeks!$D$2)/Indeks!H62*100</f>
        <v>0.15153440046703587</v>
      </c>
      <c r="E62" s="92">
        <f>(Indeks!E62/Indeks!$E$40*Indeks!$E$2)/Indeks!H62*100</f>
        <v>8.2659429121412553E-2</v>
      </c>
      <c r="F62" s="92">
        <f>(Indeks!F62/Indeks!$F$40*Indeks!$F$2)/Indeks!H62*100</f>
        <v>8.9706441187488745E-2</v>
      </c>
      <c r="G62" s="92">
        <f>(Indeks!G62/Indeks!$G$40*Indeks!$G$2)/Indeks!H62*100</f>
        <v>4.0371676544676841E-2</v>
      </c>
      <c r="H62" s="92">
        <f>SUM(C62:G62)</f>
        <v>1</v>
      </c>
    </row>
    <row r="63" spans="1:8" ht="14.1" hidden="1" customHeight="1" thickBot="1" x14ac:dyDescent="0.25">
      <c r="A63" s="72">
        <f t="shared" si="4"/>
        <v>2009</v>
      </c>
      <c r="B63" s="73" t="s">
        <v>18</v>
      </c>
      <c r="C63" s="93">
        <f>(Indeks!C63/Indeks!$C$40*Indeks!$C$2)/Indeks!H63*100</f>
        <v>0.63232543212323489</v>
      </c>
      <c r="D63" s="93">
        <f>(Indeks!D63/Indeks!$D$40*Indeks!$D$2)/Indeks!H63*100</f>
        <v>0.15072333972522961</v>
      </c>
      <c r="E63" s="93">
        <f>(Indeks!E63/Indeks!$E$40*Indeks!$E$2)/Indeks!H63*100</f>
        <v>8.221700932964339E-2</v>
      </c>
      <c r="F63" s="93">
        <f>(Indeks!F63/Indeks!$F$40*Indeks!$F$2)/Indeks!H63*100</f>
        <v>8.8859871067600057E-2</v>
      </c>
      <c r="G63" s="93">
        <f>(Indeks!G63/Indeks!$G$40*Indeks!$G$2)/Indeks!H63*100</f>
        <v>4.5874347754291972E-2</v>
      </c>
      <c r="H63" s="93">
        <f>SUM(C63:G63)</f>
        <v>0.99999999999999989</v>
      </c>
    </row>
    <row r="64" spans="1:8" ht="14.1" hidden="1" customHeight="1" x14ac:dyDescent="0.2">
      <c r="A64" s="56">
        <v>2010</v>
      </c>
      <c r="B64" s="57" t="s">
        <v>8</v>
      </c>
      <c r="C64" s="147">
        <f>(Indeks!C64/Indeks!$C$40*Indeks!$C$2)/Indeks!H64*100</f>
        <v>0.63386202698226757</v>
      </c>
      <c r="D64" s="147">
        <f>(Indeks!D64/Indeks!$D$40*Indeks!$D$2)/Indeks!H64*100</f>
        <v>0.15413772432973435</v>
      </c>
      <c r="E64" s="147">
        <f>(Indeks!E64/Indeks!$E$40*Indeks!$E$2)/Indeks!H64*100</f>
        <v>8.1781197231177619E-2</v>
      </c>
      <c r="F64" s="147">
        <f>(Indeks!F64/Indeks!$F$40*Indeks!$F$2)/Indeks!H64*100</f>
        <v>8.829772427417705E-2</v>
      </c>
      <c r="G64" s="147">
        <f>(Indeks!G64/Indeks!$G$40*Indeks!$G$2)/Indeks!H64*100</f>
        <v>4.1921327182643187E-2</v>
      </c>
      <c r="H64" s="147">
        <f t="shared" ref="H64:H70" si="5">SUM(C64:G64)</f>
        <v>0.99999999999999978</v>
      </c>
    </row>
    <row r="65" spans="1:8" ht="14.1" hidden="1" customHeight="1" x14ac:dyDescent="0.2">
      <c r="A65" s="12">
        <f>A64</f>
        <v>2010</v>
      </c>
      <c r="B65" s="13" t="s">
        <v>9</v>
      </c>
      <c r="C65" s="116">
        <f>(Indeks!C65/Indeks!$C$40*Indeks!$C$2)/Indeks!H65*100</f>
        <v>0.63619543729795003</v>
      </c>
      <c r="D65" s="148">
        <f>(Indeks!D65/Indeks!$D$40*Indeks!$D$2)/Indeks!H65*100</f>
        <v>0.15212085274151568</v>
      </c>
      <c r="E65" s="148">
        <f>(Indeks!E65/Indeks!$E$40*Indeks!$E$2)/Indeks!H65*100</f>
        <v>8.1945565152495251E-2</v>
      </c>
      <c r="F65" s="148">
        <f>(Indeks!F65/Indeks!$F$40*Indeks!$F$2)/Indeks!H65*100</f>
        <v>8.8531313101617257E-2</v>
      </c>
      <c r="G65" s="148">
        <f>(Indeks!G65/Indeks!$G$40*Indeks!$G$2)/Indeks!H65*100</f>
        <v>4.1206831706421788E-2</v>
      </c>
      <c r="H65" s="148">
        <f t="shared" si="5"/>
        <v>1</v>
      </c>
    </row>
    <row r="66" spans="1:8" ht="14.1" hidden="1" customHeight="1" x14ac:dyDescent="0.2">
      <c r="A66" s="16">
        <f t="shared" ref="A66:A75" si="6">A65</f>
        <v>2010</v>
      </c>
      <c r="B66" s="17" t="s">
        <v>10</v>
      </c>
      <c r="C66" s="117">
        <f>(Indeks!C66/Indeks!$C$40*Indeks!$C$2)/Indeks!H66*100</f>
        <v>0.63185668399254313</v>
      </c>
      <c r="D66" s="117">
        <f>(Indeks!D66/Indeks!$D$40*Indeks!$D$2)/Indeks!H66*100</f>
        <v>0.15913341654508409</v>
      </c>
      <c r="E66" s="117">
        <f>(Indeks!E66/Indeks!$E$40*Indeks!$E$2)/Indeks!H66*100</f>
        <v>8.1590345694349697E-2</v>
      </c>
      <c r="F66" s="117">
        <f>(Indeks!F66/Indeks!$F$40*Indeks!$F$2)/Indeks!H66*100</f>
        <v>8.8835885793665664E-2</v>
      </c>
      <c r="G66" s="117">
        <f>(Indeks!G66/Indeks!$G$40*Indeks!$G$2)/Indeks!H66*100</f>
        <v>3.858366797435725E-2</v>
      </c>
      <c r="H66" s="117">
        <f t="shared" si="5"/>
        <v>0.99999999999999978</v>
      </c>
    </row>
    <row r="67" spans="1:8" ht="14.1" hidden="1" customHeight="1" x14ac:dyDescent="0.2">
      <c r="A67" s="21">
        <f t="shared" si="6"/>
        <v>2010</v>
      </c>
      <c r="B67" s="22" t="s">
        <v>11</v>
      </c>
      <c r="C67" s="118">
        <f>(Indeks!C67/Indeks!$C$40*Indeks!$C$2)/Indeks!H67*100</f>
        <v>0.63444367913081301</v>
      </c>
      <c r="D67" s="118">
        <f>(Indeks!D67/Indeks!$D$40*Indeks!$D$2)/Indeks!H67*100</f>
        <v>0.15678751662615942</v>
      </c>
      <c r="E67" s="118">
        <f>(Indeks!E67/Indeks!$E$40*Indeks!$E$2)/Indeks!H67*100</f>
        <v>8.2595489703609484E-2</v>
      </c>
      <c r="F67" s="118">
        <f>(Indeks!F67/Indeks!$F$40*Indeks!$F$2)/Indeks!H67*100</f>
        <v>8.9167592636617027E-2</v>
      </c>
      <c r="G67" s="118">
        <f>(Indeks!G67/Indeks!$G$40*Indeks!$G$2)/Indeks!H67*100</f>
        <v>3.7005721902801082E-2</v>
      </c>
      <c r="H67" s="118">
        <f t="shared" si="5"/>
        <v>1</v>
      </c>
    </row>
    <row r="68" spans="1:8" ht="14.1" hidden="1" customHeight="1" x14ac:dyDescent="0.2">
      <c r="A68" s="12">
        <f t="shared" si="6"/>
        <v>2010</v>
      </c>
      <c r="B68" s="13" t="s">
        <v>12</v>
      </c>
      <c r="C68" s="116">
        <f>(Indeks!C68/Indeks!$C$40*Indeks!$C$2)/Indeks!H68*100</f>
        <v>0.63062693278194271</v>
      </c>
      <c r="D68" s="116">
        <f>(Indeks!D68/Indeks!$D$40*Indeks!$D$2)/Indeks!H68*100</f>
        <v>0.16234264699698137</v>
      </c>
      <c r="E68" s="116">
        <f>(Indeks!E68/Indeks!$E$40*Indeks!$E$2)/Indeks!H68*100</f>
        <v>8.2571211032216027E-2</v>
      </c>
      <c r="F68" s="116">
        <f>(Indeks!F68/Indeks!$F$40*Indeks!$F$2)/Indeks!H68*100</f>
        <v>8.890221312386766E-2</v>
      </c>
      <c r="G68" s="116">
        <f>(Indeks!G68/Indeks!$G$40*Indeks!$G$2)/Indeks!H68*100</f>
        <v>3.5556996064992213E-2</v>
      </c>
      <c r="H68" s="116">
        <f t="shared" si="5"/>
        <v>0.99999999999999989</v>
      </c>
    </row>
    <row r="69" spans="1:8" ht="14.1" hidden="1" customHeight="1" x14ac:dyDescent="0.2">
      <c r="A69" s="16">
        <f t="shared" si="6"/>
        <v>2010</v>
      </c>
      <c r="B69" s="17" t="s">
        <v>13</v>
      </c>
      <c r="C69" s="117">
        <f>(Indeks!C69/Indeks!$C$40*Indeks!$C$2)/Indeks!H69*100</f>
        <v>0.62798838633068588</v>
      </c>
      <c r="D69" s="117">
        <f>(Indeks!D69/Indeks!$D$40*Indeks!$D$2)/Indeks!H69*100</f>
        <v>0.1670945553259171</v>
      </c>
      <c r="E69" s="117">
        <f>(Indeks!E69/Indeks!$E$40*Indeks!$E$2)/Indeks!H69*100</f>
        <v>8.2360198274562424E-2</v>
      </c>
      <c r="F69" s="117">
        <f>(Indeks!F69/Indeks!$F$40*Indeks!$F$2)/Indeks!H69*100</f>
        <v>8.8980094599757434E-2</v>
      </c>
      <c r="G69" s="117">
        <f>(Indeks!G69/Indeks!$G$40*Indeks!$G$2)/Indeks!H69*100</f>
        <v>3.3576765469077001E-2</v>
      </c>
      <c r="H69" s="117">
        <f t="shared" si="5"/>
        <v>0.99999999999999978</v>
      </c>
    </row>
    <row r="70" spans="1:8" ht="14.1" hidden="1" customHeight="1" x14ac:dyDescent="0.2">
      <c r="A70" s="21">
        <f t="shared" si="6"/>
        <v>2010</v>
      </c>
      <c r="B70" s="26" t="s">
        <v>31</v>
      </c>
      <c r="C70" s="118">
        <f>(Indeks!C70/Indeks!$C$40*Indeks!$C$2)/Indeks!H70*100</f>
        <v>0.63175476327844005</v>
      </c>
      <c r="D70" s="118">
        <f>(Indeks!D70/Indeks!$D$40*Indeks!$D$2)/Indeks!H70*100</f>
        <v>0.16855051421420622</v>
      </c>
      <c r="E70" s="118">
        <f>(Indeks!E70/Indeks!$E$40*Indeks!$E$2)/Indeks!H70*100</f>
        <v>8.194443950386808E-2</v>
      </c>
      <c r="F70" s="118">
        <f>(Indeks!F70/Indeks!$F$40*Indeks!$F$2)/Indeks!H70*100</f>
        <v>8.8351887052097941E-2</v>
      </c>
      <c r="G70" s="118">
        <f>(Indeks!G70/Indeks!$G$40*Indeks!$G$2)/Indeks!H70*100</f>
        <v>2.9398395951387719E-2</v>
      </c>
      <c r="H70" s="118">
        <f t="shared" si="5"/>
        <v>1</v>
      </c>
    </row>
    <row r="71" spans="1:8" ht="14.1" hidden="1" customHeight="1" x14ac:dyDescent="0.2">
      <c r="A71" s="12">
        <f t="shared" si="6"/>
        <v>2010</v>
      </c>
      <c r="B71" s="13" t="s">
        <v>14</v>
      </c>
      <c r="C71" s="116">
        <f>(Indeks!C71/Indeks!$C$40*Indeks!$C$2)/Indeks!H71*100</f>
        <v>0.63092285333482045</v>
      </c>
      <c r="D71" s="116">
        <f>(Indeks!D71/Indeks!$D$40*Indeks!$D$2)/Indeks!H71*100</f>
        <v>0.16740998949218996</v>
      </c>
      <c r="E71" s="116">
        <f>(Indeks!E71/Indeks!$E$40*Indeks!$E$2)/Indeks!H71*100</f>
        <v>8.1702922418834603E-2</v>
      </c>
      <c r="F71" s="116">
        <f>(Indeks!F71/Indeks!$F$40*Indeks!$F$2)/Indeks!H71*100</f>
        <v>8.975530427975062E-2</v>
      </c>
      <c r="G71" s="116">
        <f>(Indeks!G71/Indeks!$G$40*Indeks!$G$2)/Indeks!H71*100</f>
        <v>3.0208930474404039E-2</v>
      </c>
      <c r="H71" s="116">
        <f>SUM(C71:G71)</f>
        <v>0.99999999999999978</v>
      </c>
    </row>
    <row r="72" spans="1:8" ht="14.1" hidden="1" customHeight="1" x14ac:dyDescent="0.2">
      <c r="A72" s="63">
        <f t="shared" si="6"/>
        <v>2010</v>
      </c>
      <c r="B72" s="64" t="s">
        <v>15</v>
      </c>
      <c r="C72" s="91">
        <f>(Indeks!C72/Indeks!$C$40*Indeks!$C$2)/Indeks!H72*100</f>
        <v>0.63236270229886815</v>
      </c>
      <c r="D72" s="91">
        <f>(Indeks!D72/Indeks!$D$40*Indeks!$D$2)/Indeks!H72*100</f>
        <v>0.16514511591215866</v>
      </c>
      <c r="E72" s="91">
        <f>(Indeks!E72/Indeks!$E$40*Indeks!$E$2)/Indeks!H72*100</f>
        <v>8.1889379237735066E-2</v>
      </c>
      <c r="F72" s="91">
        <f>(Indeks!F72/Indeks!$F$40*Indeks!$F$2)/Indeks!H72*100</f>
        <v>8.9960137693537889E-2</v>
      </c>
      <c r="G72" s="91">
        <f>(Indeks!G72/Indeks!$G$40*Indeks!$G$2)/Indeks!H72*100</f>
        <v>3.064266485770013E-2</v>
      </c>
      <c r="H72" s="91">
        <f>SUM(C72:G72)</f>
        <v>0.99999999999999989</v>
      </c>
    </row>
    <row r="73" spans="1:8" ht="14.1" hidden="1" customHeight="1" x14ac:dyDescent="0.2">
      <c r="A73" s="32">
        <f t="shared" si="6"/>
        <v>2010</v>
      </c>
      <c r="B73" s="67" t="s">
        <v>16</v>
      </c>
      <c r="C73" s="92">
        <f>(Indeks!C73/Indeks!$C$40*Indeks!$C$2)/Indeks!H73*100</f>
        <v>0.63451992592189888</v>
      </c>
      <c r="D73" s="92">
        <f>(Indeks!D73/Indeks!$D$40*Indeks!$D$2)/Indeks!H73*100</f>
        <v>0.16556864874354468</v>
      </c>
      <c r="E73" s="92">
        <f>(Indeks!E73/Indeks!$E$40*Indeks!$E$2)/Indeks!H73*100</f>
        <v>8.2367911615667255E-2</v>
      </c>
      <c r="F73" s="92">
        <f>(Indeks!F73/Indeks!$F$40*Indeks!$F$2)/Indeks!H73*100</f>
        <v>8.9382366652338868E-2</v>
      </c>
      <c r="G73" s="92">
        <f>(Indeks!G73/Indeks!$G$40*Indeks!$G$2)/Indeks!H73*100</f>
        <v>2.8161147066550447E-2</v>
      </c>
      <c r="H73" s="92">
        <f>SUM(C73:G73)</f>
        <v>1.0000000000000002</v>
      </c>
    </row>
    <row r="74" spans="1:8" ht="14.1" hidden="1" customHeight="1" x14ac:dyDescent="0.2">
      <c r="A74" s="32">
        <f t="shared" si="6"/>
        <v>2010</v>
      </c>
      <c r="B74" s="67" t="s">
        <v>17</v>
      </c>
      <c r="C74" s="155">
        <f>(Indeks!C74/Indeks!$C$40*Indeks!$C$2)/Indeks!H74*100</f>
        <v>0.63068122274998295</v>
      </c>
      <c r="D74" s="155">
        <f>(Indeks!D74/Indeks!$D$40*Indeks!$D$2)/Indeks!H74*100</f>
        <v>0.16903954806345081</v>
      </c>
      <c r="E74" s="155">
        <f>(Indeks!E74/Indeks!$E$40*Indeks!$E$2)/Indeks!H74*100</f>
        <v>8.2203221202090587E-2</v>
      </c>
      <c r="F74" s="155">
        <f>(Indeks!F74/Indeks!$F$40*Indeks!$F$2)/Indeks!H74*100</f>
        <v>8.8752335326890266E-2</v>
      </c>
      <c r="G74" s="155">
        <f>(Indeks!G74/Indeks!$G$40*Indeks!$G$2)/Indeks!H74*100</f>
        <v>2.9323672657585391E-2</v>
      </c>
      <c r="H74" s="155">
        <f>SUM(C74:G74)</f>
        <v>1</v>
      </c>
    </row>
    <row r="75" spans="1:8" ht="14.1" hidden="1" customHeight="1" thickBot="1" x14ac:dyDescent="0.25">
      <c r="A75" s="72">
        <f t="shared" si="6"/>
        <v>2010</v>
      </c>
      <c r="B75" s="73" t="s">
        <v>18</v>
      </c>
      <c r="C75" s="93">
        <f>(Indeks!C75/Indeks!$C$40*Indeks!$C$2)/Indeks!H75*100</f>
        <v>0.63057982983517369</v>
      </c>
      <c r="D75" s="93">
        <f>(Indeks!D75/Indeks!$D$40*Indeks!$D$2)/Indeks!H75*100</f>
        <v>0.16465520097592828</v>
      </c>
      <c r="E75" s="93">
        <f>(Indeks!E75/Indeks!$E$40*Indeks!$E$2)/Indeks!H75*100</f>
        <v>8.2123292945603527E-2</v>
      </c>
      <c r="F75" s="93">
        <f>(Indeks!F75/Indeks!$F$40*Indeks!$F$2)/Indeks!H75*100</f>
        <v>8.8113150890167469E-2</v>
      </c>
      <c r="G75" s="93">
        <f>(Indeks!G75/Indeks!$G$40*Indeks!$G$2)/Indeks!H75*100</f>
        <v>3.4528525353127337E-2</v>
      </c>
      <c r="H75" s="93">
        <f>SUM(C75:G75)</f>
        <v>1.0000000000000004</v>
      </c>
    </row>
    <row r="76" spans="1:8" ht="14.1" hidden="1" customHeight="1" x14ac:dyDescent="0.2">
      <c r="A76" s="56">
        <v>2011</v>
      </c>
      <c r="B76" s="57" t="s">
        <v>8</v>
      </c>
      <c r="C76" s="147">
        <f>(Indeks!C76/Indeks!$C$40*Indeks!$C$2)/Indeks!H76*100</f>
        <v>0.63074833903852934</v>
      </c>
      <c r="D76" s="147">
        <f>(Indeks!D76/Indeks!$D$40*Indeks!$D$2)/Indeks!H76*100</f>
        <v>0.16766940547587081</v>
      </c>
      <c r="E76" s="147">
        <f>(Indeks!E76/Indeks!$E$40*Indeks!$E$2)/Indeks!H76*100</f>
        <v>8.1592280953906457E-2</v>
      </c>
      <c r="F76" s="147">
        <f>(Indeks!F76/Indeks!$F$40*Indeks!$F$2)/Indeks!H76*100</f>
        <v>8.6674730097388866E-2</v>
      </c>
      <c r="G76" s="147">
        <f>(Indeks!G76/Indeks!$G$40*Indeks!$G$2)/Indeks!H76*100</f>
        <v>3.3315244434304371E-2</v>
      </c>
      <c r="H76" s="147">
        <f t="shared" ref="H76:H82" si="7">SUM(C76:G76)</f>
        <v>0.99999999999999989</v>
      </c>
    </row>
    <row r="77" spans="1:8" ht="14.1" hidden="1" customHeight="1" x14ac:dyDescent="0.2">
      <c r="A77" s="12">
        <f>A76</f>
        <v>2011</v>
      </c>
      <c r="B77" s="13" t="s">
        <v>9</v>
      </c>
      <c r="C77" s="116">
        <f>(Indeks!C77/Indeks!$C$40*Indeks!$C$2)/Indeks!H77*100</f>
        <v>0.62837459570852383</v>
      </c>
      <c r="D77" s="116">
        <f>(Indeks!D77/Indeks!$D$40*Indeks!$D$2)/Indeks!H77*100</f>
        <v>0.1714610077737328</v>
      </c>
      <c r="E77" s="116">
        <f>(Indeks!E77/Indeks!$E$40*Indeks!$E$2)/Indeks!H77*100</f>
        <v>8.1351196761909605E-2</v>
      </c>
      <c r="F77" s="116">
        <f>(Indeks!F77/Indeks!$F$40*Indeks!$F$2)/Indeks!H77*100</f>
        <v>8.6701704239858735E-2</v>
      </c>
      <c r="G77" s="116">
        <f>(Indeks!G77/Indeks!$G$40*Indeks!$G$2)/Indeks!H77*100</f>
        <v>3.2111495515975134E-2</v>
      </c>
      <c r="H77" s="116">
        <f t="shared" si="7"/>
        <v>1.0000000000000002</v>
      </c>
    </row>
    <row r="78" spans="1:8" ht="14.1" hidden="1" customHeight="1" x14ac:dyDescent="0.2">
      <c r="A78" s="16">
        <f t="shared" ref="A78:A87" si="8">A77</f>
        <v>2011</v>
      </c>
      <c r="B78" s="17" t="s">
        <v>10</v>
      </c>
      <c r="C78" s="117">
        <f>(Indeks!C78/Indeks!$C$40*Indeks!$C$2)/Indeks!H78*100</f>
        <v>0.62236765834255925</v>
      </c>
      <c r="D78" s="117">
        <f>(Indeks!D78/Indeks!$D$40*Indeks!$D$2)/Indeks!H78*100</f>
        <v>0.17588699777315647</v>
      </c>
      <c r="E78" s="117">
        <f>(Indeks!E78/Indeks!$E$40*Indeks!$E$2)/Indeks!H78*100</f>
        <v>8.063886878052251E-2</v>
      </c>
      <c r="F78" s="117">
        <f>(Indeks!F78/Indeks!$F$40*Indeks!$F$2)/Indeks!H78*100</f>
        <v>8.6572456022442165E-2</v>
      </c>
      <c r="G78" s="117">
        <f>(Indeks!G78/Indeks!$G$40*Indeks!$G$2)/Indeks!H78*100</f>
        <v>3.4534019081319527E-2</v>
      </c>
      <c r="H78" s="117">
        <f t="shared" si="7"/>
        <v>0.99999999999999989</v>
      </c>
    </row>
    <row r="79" spans="1:8" ht="14.1" hidden="1" customHeight="1" x14ac:dyDescent="0.2">
      <c r="A79" s="21">
        <f t="shared" si="8"/>
        <v>2011</v>
      </c>
      <c r="B79" s="22" t="s">
        <v>11</v>
      </c>
      <c r="C79" s="118">
        <f>(Indeks!C79/Indeks!$C$40*Indeks!$C$2)/Indeks!H79*100</f>
        <v>0.62008718037125521</v>
      </c>
      <c r="D79" s="118">
        <f>(Indeks!D79/Indeks!$D$40*Indeks!$D$2)/Indeks!H79*100</f>
        <v>0.17844944693091219</v>
      </c>
      <c r="E79" s="118">
        <f>(Indeks!E79/Indeks!$E$40*Indeks!$E$2)/Indeks!H79*100</f>
        <v>8.1048494260621565E-2</v>
      </c>
      <c r="F79" s="118">
        <f>(Indeks!F79/Indeks!$F$40*Indeks!$F$2)/Indeks!H79*100</f>
        <v>8.5533062018262787E-2</v>
      </c>
      <c r="G79" s="118">
        <f>(Indeks!G79/Indeks!$G$40*Indeks!$G$2)/Indeks!H79*100</f>
        <v>3.4881816418948122E-2</v>
      </c>
      <c r="H79" s="118">
        <f t="shared" si="7"/>
        <v>1</v>
      </c>
    </row>
    <row r="80" spans="1:8" ht="14.1" hidden="1" customHeight="1" x14ac:dyDescent="0.2">
      <c r="A80" s="12">
        <f t="shared" si="8"/>
        <v>2011</v>
      </c>
      <c r="B80" s="13" t="s">
        <v>12</v>
      </c>
      <c r="C80" s="116">
        <f>(Indeks!C80/Indeks!$C$40*Indeks!$C$2)/Indeks!H80*100</f>
        <v>0.61646412078338741</v>
      </c>
      <c r="D80" s="116">
        <f>(Indeks!D80/Indeks!$D$40*Indeks!$D$2)/Indeks!H80*100</f>
        <v>0.18150933062619778</v>
      </c>
      <c r="E80" s="116">
        <f>(Indeks!E80/Indeks!$E$40*Indeks!$E$2)/Indeks!H80*100</f>
        <v>8.1026523202400641E-2</v>
      </c>
      <c r="F80" s="116">
        <f>(Indeks!F80/Indeks!$F$40*Indeks!$F$2)/Indeks!H80*100</f>
        <v>8.5033307483361062E-2</v>
      </c>
      <c r="G80" s="116">
        <f>(Indeks!G80/Indeks!$G$40*Indeks!$G$2)/Indeks!H80*100</f>
        <v>3.5966717904652924E-2</v>
      </c>
      <c r="H80" s="116">
        <f t="shared" si="7"/>
        <v>0.99999999999999978</v>
      </c>
    </row>
    <row r="81" spans="1:8" ht="14.1" hidden="1" customHeight="1" x14ac:dyDescent="0.2">
      <c r="A81" s="16">
        <f t="shared" si="8"/>
        <v>2011</v>
      </c>
      <c r="B81" s="17" t="s">
        <v>13</v>
      </c>
      <c r="C81" s="117">
        <f>(Indeks!C81/Indeks!$C$40*Indeks!$C$2)/Indeks!H81*100</f>
        <v>0.61326393213042252</v>
      </c>
      <c r="D81" s="117">
        <f>(Indeks!D81/Indeks!$D$40*Indeks!$D$2)/Indeks!H81*100</f>
        <v>0.18685438755687794</v>
      </c>
      <c r="E81" s="117">
        <f>(Indeks!E81/Indeks!$E$40*Indeks!$E$2)/Indeks!H81*100</f>
        <v>8.092678165391369E-2</v>
      </c>
      <c r="F81" s="117">
        <f>(Indeks!F81/Indeks!$F$40*Indeks!$F$2)/Indeks!H81*100</f>
        <v>8.3990721975758437E-2</v>
      </c>
      <c r="G81" s="117">
        <f>(Indeks!G81/Indeks!$G$40*Indeks!$G$2)/Indeks!H81*100</f>
        <v>3.4964176683027218E-2</v>
      </c>
      <c r="H81" s="117">
        <f t="shared" si="7"/>
        <v>0.99999999999999978</v>
      </c>
    </row>
    <row r="82" spans="1:8" ht="14.1" hidden="1" customHeight="1" x14ac:dyDescent="0.2">
      <c r="A82" s="21">
        <f t="shared" si="8"/>
        <v>2011</v>
      </c>
      <c r="B82" s="26" t="s">
        <v>31</v>
      </c>
      <c r="C82" s="118">
        <f>(Indeks!C82/Indeks!$C$40*Indeks!$C$2)/Indeks!H82*100</f>
        <v>0.61989566283332664</v>
      </c>
      <c r="D82" s="118">
        <f>(Indeks!D82/Indeks!$D$40*Indeks!$D$2)/Indeks!H82*100</f>
        <v>0.18138825243294232</v>
      </c>
      <c r="E82" s="118">
        <f>(Indeks!E82/Indeks!$E$40*Indeks!$E$2)/Indeks!H82*100</f>
        <v>8.1523354020904049E-2</v>
      </c>
      <c r="F82" s="118">
        <f>(Indeks!F82/Indeks!$F$40*Indeks!$F$2)/Indeks!H82*100</f>
        <v>8.3784889170737481E-2</v>
      </c>
      <c r="G82" s="118">
        <f>(Indeks!G82/Indeks!$G$40*Indeks!$G$2)/Indeks!H82*100</f>
        <v>3.340784154208943E-2</v>
      </c>
      <c r="H82" s="118">
        <f t="shared" si="7"/>
        <v>0.99999999999999989</v>
      </c>
    </row>
    <row r="83" spans="1:8" ht="14.1" hidden="1" customHeight="1" x14ac:dyDescent="0.2">
      <c r="A83" s="12">
        <f t="shared" si="8"/>
        <v>2011</v>
      </c>
      <c r="B83" s="13" t="s">
        <v>14</v>
      </c>
      <c r="C83" s="116">
        <f>(Indeks!C83/Indeks!$C$40*Indeks!$C$2)/Indeks!H83*100</f>
        <v>0.61717723468225494</v>
      </c>
      <c r="D83" s="116">
        <f>(Indeks!D83/Indeks!$D$40*Indeks!$D$2)/Indeks!H83*100</f>
        <v>0.184790074717052</v>
      </c>
      <c r="E83" s="116">
        <f>(Indeks!E83/Indeks!$E$40*Indeks!$E$2)/Indeks!H83*100</f>
        <v>8.0973056703706303E-2</v>
      </c>
      <c r="F83" s="116">
        <f>(Indeks!F83/Indeks!$F$40*Indeks!$F$2)/Indeks!H83*100</f>
        <v>8.3331469947683326E-2</v>
      </c>
      <c r="G83" s="116">
        <f>(Indeks!G83/Indeks!$G$40*Indeks!$G$2)/Indeks!H83*100</f>
        <v>3.3728163949303246E-2</v>
      </c>
      <c r="H83" s="116">
        <f>SUM(C83:G83)</f>
        <v>0.99999999999999989</v>
      </c>
    </row>
    <row r="84" spans="1:8" ht="14.1" hidden="1" customHeight="1" x14ac:dyDescent="0.2">
      <c r="A84" s="63">
        <f t="shared" si="8"/>
        <v>2011</v>
      </c>
      <c r="B84" s="64" t="s">
        <v>15</v>
      </c>
      <c r="C84" s="91">
        <f>(Indeks!C84/Indeks!$C$40*Indeks!$C$2)/Indeks!H84*100</f>
        <v>0.61751779655572803</v>
      </c>
      <c r="D84" s="91">
        <f>(Indeks!D84/Indeks!$D$40*Indeks!$D$2)/Indeks!H84*100</f>
        <v>0.1868813177400809</v>
      </c>
      <c r="E84" s="91">
        <f>(Indeks!E84/Indeks!$E$40*Indeks!$E$2)/Indeks!H84*100</f>
        <v>8.0953438300224514E-2</v>
      </c>
      <c r="F84" s="91">
        <f>(Indeks!F84/Indeks!$F$40*Indeks!$F$2)/Indeks!H84*100</f>
        <v>8.3119318193495537E-2</v>
      </c>
      <c r="G84" s="91">
        <f>(Indeks!G84/Indeks!$G$40*Indeks!$G$2)/Indeks!H84*100</f>
        <v>3.1528129210470796E-2</v>
      </c>
      <c r="H84" s="91">
        <f>SUM(C84:G84)</f>
        <v>0.99999999999999967</v>
      </c>
    </row>
    <row r="85" spans="1:8" ht="14.1" hidden="1" customHeight="1" x14ac:dyDescent="0.2">
      <c r="A85" s="32">
        <f t="shared" si="8"/>
        <v>2011</v>
      </c>
      <c r="B85" s="67" t="s">
        <v>16</v>
      </c>
      <c r="C85" s="155">
        <f>(Indeks!C85/Indeks!$C$40*Indeks!$C$2)/Indeks!H85*100</f>
        <v>0.62284029196693758</v>
      </c>
      <c r="D85" s="155">
        <f>(Indeks!D85/Indeks!$D$40*Indeks!$D$2)/Indeks!H85*100</f>
        <v>0.18364618365111945</v>
      </c>
      <c r="E85" s="155">
        <f>(Indeks!E85/Indeks!$E$40*Indeks!$E$2)/Indeks!H85*100</f>
        <v>8.1380822162858746E-2</v>
      </c>
      <c r="F85" s="155">
        <f>(Indeks!F85/Indeks!$F$40*Indeks!$F$2)/Indeks!H85*100</f>
        <v>8.4077131193429439E-2</v>
      </c>
      <c r="G85" s="155">
        <f>(Indeks!G85/Indeks!$G$40*Indeks!$G$2)/Indeks!H85*100</f>
        <v>2.8055571025654702E-2</v>
      </c>
      <c r="H85" s="155">
        <f>SUM(C85:G85)</f>
        <v>0.99999999999999978</v>
      </c>
    </row>
    <row r="86" spans="1:8" ht="14.1" hidden="1" customHeight="1" x14ac:dyDescent="0.2">
      <c r="A86" s="32">
        <f t="shared" si="8"/>
        <v>2011</v>
      </c>
      <c r="B86" s="67" t="s">
        <v>17</v>
      </c>
      <c r="C86" s="92">
        <f>(Indeks!C86/Indeks!$C$40*Indeks!$C$2)/Indeks!H86*100</f>
        <v>0.62208975796637833</v>
      </c>
      <c r="D86" s="92">
        <f>(Indeks!D86/Indeks!$D$40*Indeks!$D$2)/Indeks!H86*100</f>
        <v>0.18697576162229568</v>
      </c>
      <c r="E86" s="92">
        <f>(Indeks!E86/Indeks!$E$40*Indeks!$E$2)/Indeks!H86*100</f>
        <v>8.1541002230663101E-2</v>
      </c>
      <c r="F86" s="92">
        <f>(Indeks!F86/Indeks!$F$40*Indeks!$F$2)/Indeks!H86*100</f>
        <v>8.3716632085418019E-2</v>
      </c>
      <c r="G86" s="92">
        <f>(Indeks!G86/Indeks!$G$40*Indeks!$G$2)/Indeks!H86*100</f>
        <v>2.567684609524477E-2</v>
      </c>
      <c r="H86" s="92">
        <f>SUM(C86:G86)</f>
        <v>0.99999999999999989</v>
      </c>
    </row>
    <row r="87" spans="1:8" ht="14.1" hidden="1" customHeight="1" thickBot="1" x14ac:dyDescent="0.25">
      <c r="A87" s="72">
        <f t="shared" si="8"/>
        <v>2011</v>
      </c>
      <c r="B87" s="73" t="s">
        <v>18</v>
      </c>
      <c r="C87" s="93">
        <f>(Indeks!C87/Indeks!$C$40*Indeks!$C$2)/Indeks!H87*100</f>
        <v>0.61794212442492802</v>
      </c>
      <c r="D87" s="93">
        <f>(Indeks!D87/Indeks!$D$40*Indeks!$D$2)/Indeks!H87*100</f>
        <v>0.1871620709520937</v>
      </c>
      <c r="E87" s="93">
        <f>(Indeks!E87/Indeks!$E$40*Indeks!$E$2)/Indeks!H87*100</f>
        <v>8.1125609081708461E-2</v>
      </c>
      <c r="F87" s="93">
        <f>(Indeks!F87/Indeks!$F$40*Indeks!$F$2)/Indeks!H87*100</f>
        <v>8.418829789006449E-2</v>
      </c>
      <c r="G87" s="93">
        <f>(Indeks!G87/Indeks!$G$40*Indeks!$G$2)/Indeks!H87*100</f>
        <v>2.9581897651205422E-2</v>
      </c>
      <c r="H87" s="93">
        <f>SUM(C87:G87)</f>
        <v>1.0000000000000002</v>
      </c>
    </row>
    <row r="88" spans="1:8" ht="15" hidden="1" customHeight="1" x14ac:dyDescent="0.2">
      <c r="A88" s="56">
        <v>2012</v>
      </c>
      <c r="B88" s="57" t="s">
        <v>8</v>
      </c>
      <c r="C88" s="147">
        <f>(Indeks!C88/Indeks!$C$40*Indeks!$C$2)/Indeks!H88*100</f>
        <v>0.61886439382863734</v>
      </c>
      <c r="D88" s="147">
        <f>(Indeks!D88/Indeks!$D$40*Indeks!$D$2)/Indeks!H88*100</f>
        <v>0.19084628270252729</v>
      </c>
      <c r="E88" s="147">
        <f>(Indeks!E88/Indeks!$E$40*Indeks!$E$2)/Indeks!H88*100</f>
        <v>8.0847826170421286E-2</v>
      </c>
      <c r="F88" s="147">
        <f>(Indeks!F88/Indeks!$F$40*Indeks!$F$2)/Indeks!H88*100</f>
        <v>8.3538441277316342E-2</v>
      </c>
      <c r="G88" s="147">
        <f>(Indeks!G88/Indeks!$G$40*Indeks!$G$2)/Indeks!H88*100</f>
        <v>2.5903056021097735E-2</v>
      </c>
      <c r="H88" s="147">
        <f t="shared" ref="H88:H94" si="9">SUM(C88:G88)</f>
        <v>1</v>
      </c>
    </row>
    <row r="89" spans="1:8" ht="15" hidden="1" customHeight="1" x14ac:dyDescent="0.2">
      <c r="A89" s="12">
        <f>A88</f>
        <v>2012</v>
      </c>
      <c r="B89" s="13" t="s">
        <v>9</v>
      </c>
      <c r="C89" s="116">
        <f>(Indeks!C89/Indeks!$C$40*Indeks!$C$2)/Indeks!H89*100</f>
        <v>0.62384258931639425</v>
      </c>
      <c r="D89" s="116">
        <f>(Indeks!D89/Indeks!$D$40*Indeks!$D$2)/Indeks!H89*100</f>
        <v>0.18794871304713759</v>
      </c>
      <c r="E89" s="116">
        <f>(Indeks!E89/Indeks!$E$40*Indeks!$E$2)/Indeks!H89*100</f>
        <v>8.1498172655774248E-2</v>
      </c>
      <c r="F89" s="116">
        <f>(Indeks!F89/Indeks!$F$40*Indeks!$F$2)/Indeks!H89*100</f>
        <v>8.4814399546491046E-2</v>
      </c>
      <c r="G89" s="116">
        <f>(Indeks!G89/Indeks!$G$40*Indeks!$G$2)/Indeks!H89*100</f>
        <v>2.1896125434202843E-2</v>
      </c>
      <c r="H89" s="116">
        <f t="shared" si="9"/>
        <v>1</v>
      </c>
    </row>
    <row r="90" spans="1:8" ht="15" hidden="1" customHeight="1" x14ac:dyDescent="0.2">
      <c r="A90" s="16">
        <f t="shared" ref="A90:A99" si="10">A89</f>
        <v>2012</v>
      </c>
      <c r="B90" s="17" t="s">
        <v>10</v>
      </c>
      <c r="C90" s="117">
        <f>(Indeks!C90/Indeks!$C$40*Indeks!$C$2)/Indeks!H90*100</f>
        <v>0.61884311096231148</v>
      </c>
      <c r="D90" s="117">
        <f>(Indeks!D90/Indeks!$D$40*Indeks!$D$2)/Indeks!H90*100</f>
        <v>0.19226881874359908</v>
      </c>
      <c r="E90" s="117">
        <f>(Indeks!E90/Indeks!$E$40*Indeks!$E$2)/Indeks!H90*100</f>
        <v>8.1100884550551242E-2</v>
      </c>
      <c r="F90" s="117">
        <f>(Indeks!F90/Indeks!$F$40*Indeks!$F$2)/Indeks!H90*100</f>
        <v>8.49050039212636E-2</v>
      </c>
      <c r="G90" s="117">
        <f>(Indeks!G90/Indeks!$G$40*Indeks!$G$2)/Indeks!H90*100</f>
        <v>2.2882181822274566E-2</v>
      </c>
      <c r="H90" s="117">
        <f t="shared" si="9"/>
        <v>0.99999999999999989</v>
      </c>
    </row>
    <row r="91" spans="1:8" hidden="1" x14ac:dyDescent="0.2">
      <c r="A91" s="21">
        <f t="shared" si="10"/>
        <v>2012</v>
      </c>
      <c r="B91" s="22" t="s">
        <v>11</v>
      </c>
      <c r="C91" s="118">
        <f>(Indeks!C91/Indeks!$C$40*Indeks!$C$2)/Indeks!H91*100</f>
        <v>0.61742294049348689</v>
      </c>
      <c r="D91" s="118">
        <f>(Indeks!D91/Indeks!$D$40*Indeks!$D$2)/Indeks!H91*100</f>
        <v>0.19340368473055353</v>
      </c>
      <c r="E91" s="118">
        <f>(Indeks!E91/Indeks!$E$40*Indeks!$E$2)/Indeks!H91*100</f>
        <v>8.1398930583446716E-2</v>
      </c>
      <c r="F91" s="118">
        <f>(Indeks!F91/Indeks!$F$40*Indeks!$F$2)/Indeks!H91*100</f>
        <v>8.4748972292622501E-2</v>
      </c>
      <c r="G91" s="118">
        <f>(Indeks!G91/Indeks!$G$40*Indeks!$G$2)/Indeks!H91*100</f>
        <v>2.3025471899890515E-2</v>
      </c>
      <c r="H91" s="118">
        <f t="shared" si="9"/>
        <v>1</v>
      </c>
    </row>
    <row r="92" spans="1:8" hidden="1" x14ac:dyDescent="0.2">
      <c r="A92" s="12">
        <f t="shared" si="10"/>
        <v>2012</v>
      </c>
      <c r="B92" s="13" t="s">
        <v>12</v>
      </c>
      <c r="C92" s="116">
        <f>(Indeks!C92/Indeks!$C$40*Indeks!$C$2)/Indeks!H92*100</f>
        <v>0.61584738343879686</v>
      </c>
      <c r="D92" s="116">
        <f>(Indeks!D92/Indeks!$D$40*Indeks!$D$2)/Indeks!H92*100</f>
        <v>0.19627928686749202</v>
      </c>
      <c r="E92" s="116">
        <f>(Indeks!E92/Indeks!$E$40*Indeks!$E$2)/Indeks!H92*100</f>
        <v>8.1570612724152544E-2</v>
      </c>
      <c r="F92" s="116">
        <f>(Indeks!F92/Indeks!$F$40*Indeks!$F$2)/Indeks!H92*100</f>
        <v>8.4025003555901451E-2</v>
      </c>
      <c r="G92" s="116">
        <f>(Indeks!G92/Indeks!$G$40*Indeks!$G$2)/Indeks!H92*100</f>
        <v>2.2277713413657134E-2</v>
      </c>
      <c r="H92" s="116">
        <f t="shared" si="9"/>
        <v>1</v>
      </c>
    </row>
    <row r="93" spans="1:8" hidden="1" x14ac:dyDescent="0.2">
      <c r="A93" s="16">
        <f t="shared" si="10"/>
        <v>2012</v>
      </c>
      <c r="B93" s="17" t="s">
        <v>13</v>
      </c>
      <c r="C93" s="117">
        <f>(Indeks!C93/Indeks!$C$40*Indeks!$C$2)/Indeks!H93*100</f>
        <v>0.61812090162755817</v>
      </c>
      <c r="D93" s="117">
        <f>(Indeks!D93/Indeks!$D$40*Indeks!$D$2)/Indeks!H93*100</f>
        <v>0.19438589744233437</v>
      </c>
      <c r="E93" s="117">
        <f>(Indeks!E93/Indeks!$E$40*Indeks!$E$2)/Indeks!H93*100</f>
        <v>8.1871746213851279E-2</v>
      </c>
      <c r="F93" s="117">
        <f>(Indeks!F93/Indeks!$F$40*Indeks!$F$2)/Indeks!H93*100</f>
        <v>8.4759846427122809E-2</v>
      </c>
      <c r="G93" s="117">
        <f>(Indeks!G93/Indeks!$G$40*Indeks!$G$2)/Indeks!H93*100</f>
        <v>2.0861608289133492E-2</v>
      </c>
      <c r="H93" s="117">
        <f t="shared" si="9"/>
        <v>1.0000000000000002</v>
      </c>
    </row>
    <row r="94" spans="1:8" hidden="1" x14ac:dyDescent="0.2">
      <c r="A94" s="21">
        <f t="shared" si="10"/>
        <v>2012</v>
      </c>
      <c r="B94" s="26" t="s">
        <v>31</v>
      </c>
      <c r="C94" s="118">
        <f>(Indeks!C94/Indeks!$C$40*Indeks!$C$2)/Indeks!H94*100</f>
        <v>0.62418458151484035</v>
      </c>
      <c r="D94" s="118">
        <f>(Indeks!D94/Indeks!$D$40*Indeks!$D$2)/Indeks!H94*100</f>
        <v>0.19055558132770262</v>
      </c>
      <c r="E94" s="118">
        <f>(Indeks!E94/Indeks!$E$40*Indeks!$E$2)/Indeks!H94*100</f>
        <v>8.2337723318234829E-2</v>
      </c>
      <c r="F94" s="118">
        <f>(Indeks!F94/Indeks!$F$40*Indeks!$F$2)/Indeks!H94*100</f>
        <v>8.5071435122174729E-2</v>
      </c>
      <c r="G94" s="118">
        <f>(Indeks!G94/Indeks!$G$40*Indeks!$G$2)/Indeks!H94*100</f>
        <v>1.7850678717047472E-2</v>
      </c>
      <c r="H94" s="118">
        <f t="shared" si="9"/>
        <v>1</v>
      </c>
    </row>
    <row r="95" spans="1:8" hidden="1" x14ac:dyDescent="0.2">
      <c r="A95" s="12">
        <f t="shared" si="10"/>
        <v>2012</v>
      </c>
      <c r="B95" s="13" t="s">
        <v>14</v>
      </c>
      <c r="C95" s="116">
        <f>(Indeks!C95/Indeks!$C$40*Indeks!$C$2)/Indeks!H95*100</f>
        <v>0.62650059438472649</v>
      </c>
      <c r="D95" s="116">
        <f>(Indeks!D95/Indeks!$D$40*Indeks!$D$2)/Indeks!H95*100</f>
        <v>0.18531664196696432</v>
      </c>
      <c r="E95" s="116">
        <f>(Indeks!E95/Indeks!$E$40*Indeks!$E$2)/Indeks!H95*100</f>
        <v>8.2515105226709892E-2</v>
      </c>
      <c r="F95" s="116">
        <f>(Indeks!F95/Indeks!$F$40*Indeks!$F$2)/Indeks!H95*100</f>
        <v>8.6587309540730684E-2</v>
      </c>
      <c r="G95" s="116">
        <f>(Indeks!G95/Indeks!$G$40*Indeks!$G$2)/Indeks!H95*100</f>
        <v>1.9080348880868622E-2</v>
      </c>
      <c r="H95" s="116">
        <f>SUM(C95:G95)</f>
        <v>1</v>
      </c>
    </row>
    <row r="96" spans="1:8" hidden="1" x14ac:dyDescent="0.2">
      <c r="A96" s="63">
        <f t="shared" si="10"/>
        <v>2012</v>
      </c>
      <c r="B96" s="64" t="s">
        <v>15</v>
      </c>
      <c r="C96" s="91">
        <f>(Indeks!C96/Indeks!$C$40*Indeks!$C$2)/Indeks!H96*100</f>
        <v>0.6230261445603491</v>
      </c>
      <c r="D96" s="91">
        <f>(Indeks!D96/Indeks!$D$40*Indeks!$D$2)/Indeks!H96*100</f>
        <v>0.19206342948239749</v>
      </c>
      <c r="E96" s="91">
        <f>(Indeks!E96/Indeks!$E$40*Indeks!$E$2)/Indeks!H96*100</f>
        <v>8.2057492583668457E-2</v>
      </c>
      <c r="F96" s="91">
        <f>(Indeks!F96/Indeks!$F$40*Indeks!$F$2)/Indeks!H96*100</f>
        <v>8.6192367816195395E-2</v>
      </c>
      <c r="G96" s="91">
        <f>(Indeks!G96/Indeks!$G$40*Indeks!$G$2)/Indeks!H96*100</f>
        <v>1.6660565557389616E-2</v>
      </c>
      <c r="H96" s="91">
        <f>SUM(C96:G96)</f>
        <v>1.0000000000000002</v>
      </c>
    </row>
    <row r="97" spans="1:8" hidden="1" x14ac:dyDescent="0.2">
      <c r="A97" s="32">
        <f t="shared" si="10"/>
        <v>2012</v>
      </c>
      <c r="B97" s="67" t="s">
        <v>16</v>
      </c>
      <c r="C97" s="92">
        <f>(Indeks!C97/Indeks!$C$40*Indeks!$C$2)/Indeks!H97*100</f>
        <v>0.61941861263554587</v>
      </c>
      <c r="D97" s="92">
        <f>(Indeks!D97/Indeks!$D$40*Indeks!$D$2)/Indeks!H97*100</f>
        <v>0.19596607753928369</v>
      </c>
      <c r="E97" s="92">
        <f>(Indeks!E97/Indeks!$E$40*Indeks!$E$2)/Indeks!H97*100</f>
        <v>8.1702430391611416E-2</v>
      </c>
      <c r="F97" s="92">
        <f>(Indeks!F97/Indeks!$F$40*Indeks!$F$2)/Indeks!H97*100</f>
        <v>8.6146079341875584E-2</v>
      </c>
      <c r="G97" s="92">
        <f>(Indeks!G97/Indeks!$G$40*Indeks!$G$2)/Indeks!H97*100</f>
        <v>1.6766800091683496E-2</v>
      </c>
      <c r="H97" s="92">
        <f>SUM(C97:G97)</f>
        <v>1</v>
      </c>
    </row>
    <row r="98" spans="1:8" hidden="1" x14ac:dyDescent="0.2">
      <c r="A98" s="32">
        <f t="shared" si="10"/>
        <v>2012</v>
      </c>
      <c r="B98" s="67" t="s">
        <v>17</v>
      </c>
      <c r="C98" s="92">
        <f>(Indeks!C98/Indeks!$C$40*Indeks!$C$2)/Indeks!H98*100</f>
        <v>0.61880764737463123</v>
      </c>
      <c r="D98" s="92">
        <f>(Indeks!D98/Indeks!$D$40*Indeks!$D$2)/Indeks!H98*100</f>
        <v>0.1959899492356221</v>
      </c>
      <c r="E98" s="92">
        <f>(Indeks!E98/Indeks!$E$40*Indeks!$E$2)/Indeks!H98*100</f>
        <v>8.1811367376723038E-2</v>
      </c>
      <c r="F98" s="92">
        <f>(Indeks!F98/Indeks!$F$40*Indeks!$F$2)/Indeks!H98*100</f>
        <v>8.5722951319478241E-2</v>
      </c>
      <c r="G98" s="92">
        <f>(Indeks!G98/Indeks!$G$40*Indeks!$G$2)/Indeks!H98*100</f>
        <v>1.7668084693545239E-2</v>
      </c>
      <c r="H98" s="92">
        <f>SUM(C98:G98)</f>
        <v>0.99999999999999978</v>
      </c>
    </row>
    <row r="99" spans="1:8" hidden="1" x14ac:dyDescent="0.2">
      <c r="A99" s="32">
        <f t="shared" si="10"/>
        <v>2012</v>
      </c>
      <c r="B99" s="33" t="s">
        <v>18</v>
      </c>
      <c r="C99" s="116">
        <f>(Indeks!C99/Indeks!$C$40*Indeks!$C$2)/Indeks!H99*100</f>
        <v>0.61839491063938057</v>
      </c>
      <c r="D99" s="116">
        <f>(Indeks!D99/Indeks!$D$40*Indeks!$D$2)/Indeks!H99*100</f>
        <v>0.19585922646234571</v>
      </c>
      <c r="E99" s="116">
        <f>(Indeks!E99/Indeks!$E$40*Indeks!$E$2)/Indeks!H99*100</f>
        <v>8.1693667583508545E-2</v>
      </c>
      <c r="F99" s="116">
        <f>(Indeks!F99/Indeks!$F$40*Indeks!$F$2)/Indeks!H99*100</f>
        <v>8.4905428097121802E-2</v>
      </c>
      <c r="G99" s="116">
        <f>(Indeks!G99/Indeks!$G$40*Indeks!$G$2)/Indeks!H99*100</f>
        <v>1.9146767217643409E-2</v>
      </c>
      <c r="H99" s="116">
        <f>SUM(C99:G99)</f>
        <v>0.99999999999999989</v>
      </c>
    </row>
    <row r="100" spans="1:8" hidden="1" x14ac:dyDescent="0.2">
      <c r="A100" s="56">
        <v>2013</v>
      </c>
      <c r="B100" s="57" t="s">
        <v>8</v>
      </c>
      <c r="C100" s="147">
        <f>(Indeks!C100/Indeks!$C$40*Indeks!$C$2)/Indeks!H100*100</f>
        <v>0.62673974944776323</v>
      </c>
      <c r="D100" s="147">
        <f>(Indeks!D100/Indeks!$D$40*Indeks!$D$2)/Indeks!H100*100</f>
        <v>0.1899563927971917</v>
      </c>
      <c r="E100" s="147">
        <f>(Indeks!E100/Indeks!$E$40*Indeks!$E$2)/Indeks!H100*100</f>
        <v>8.1705241523744504E-2</v>
      </c>
      <c r="F100" s="147">
        <f>(Indeks!F100/Indeks!$F$40*Indeks!$F$2)/Indeks!H100*100</f>
        <v>8.4729450826740646E-2</v>
      </c>
      <c r="G100" s="147">
        <f>(Indeks!G100/Indeks!$G$40*Indeks!$G$2)/Indeks!H100*100</f>
        <v>1.6869165404559825E-2</v>
      </c>
      <c r="H100" s="147">
        <f t="shared" ref="H100:H106" si="11">SUM(C100:G100)</f>
        <v>0.99999999999999989</v>
      </c>
    </row>
    <row r="101" spans="1:8" hidden="1" x14ac:dyDescent="0.2">
      <c r="A101" s="12">
        <f>A100</f>
        <v>2013</v>
      </c>
      <c r="B101" s="13" t="s">
        <v>9</v>
      </c>
      <c r="C101" s="116">
        <f>(Indeks!C101/Indeks!$C$40*Indeks!$C$2)/Indeks!H101*100</f>
        <v>0.62985944705320673</v>
      </c>
      <c r="D101" s="116">
        <f>(Indeks!D101/Indeks!$D$40*Indeks!$D$2)/Indeks!H101*100</f>
        <v>0.18609936689631509</v>
      </c>
      <c r="E101" s="116">
        <f>(Indeks!E101/Indeks!$E$40*Indeks!$E$2)/Indeks!H101*100</f>
        <v>8.1857922535208821E-2</v>
      </c>
      <c r="F101" s="116">
        <f>(Indeks!F101/Indeks!$F$40*Indeks!$F$2)/Indeks!H101*100</f>
        <v>8.5576111469102212E-2</v>
      </c>
      <c r="G101" s="116">
        <f>(Indeks!G101/Indeks!$G$40*Indeks!$G$2)/Indeks!H101*100</f>
        <v>1.6607152046167042E-2</v>
      </c>
      <c r="H101" s="116">
        <f t="shared" si="11"/>
        <v>1</v>
      </c>
    </row>
    <row r="102" spans="1:8" hidden="1" x14ac:dyDescent="0.2">
      <c r="A102" s="16">
        <f t="shared" ref="A102:A111" si="12">A101</f>
        <v>2013</v>
      </c>
      <c r="B102" s="17" t="s">
        <v>10</v>
      </c>
      <c r="C102" s="117">
        <f>(Indeks!C102/Indeks!$C$40*Indeks!$C$2)/Indeks!H102*100</f>
        <v>0.62847630806785393</v>
      </c>
      <c r="D102" s="117">
        <f>(Indeks!D102/Indeks!$D$40*Indeks!$D$2)/Indeks!H102*100</f>
        <v>0.18634415926457176</v>
      </c>
      <c r="E102" s="117">
        <f>(Indeks!E102/Indeks!$E$40*Indeks!$E$2)/Indeks!H102*100</f>
        <v>8.136133909848281E-2</v>
      </c>
      <c r="F102" s="117">
        <f>(Indeks!F102/Indeks!$F$40*Indeks!$F$2)/Indeks!H102*100</f>
        <v>8.4370655185051574E-2</v>
      </c>
      <c r="G102" s="117">
        <f>(Indeks!G102/Indeks!$G$40*Indeks!$G$2)/Indeks!H102*100</f>
        <v>1.9447538384040085E-2</v>
      </c>
      <c r="H102" s="117">
        <f t="shared" si="11"/>
        <v>1.0000000000000002</v>
      </c>
    </row>
    <row r="103" spans="1:8" hidden="1" x14ac:dyDescent="0.2">
      <c r="A103" s="21">
        <f t="shared" si="12"/>
        <v>2013</v>
      </c>
      <c r="B103" s="22" t="s">
        <v>11</v>
      </c>
      <c r="C103" s="118">
        <f>(Indeks!C103/Indeks!$C$40*Indeks!$C$2)/Indeks!H103*100</f>
        <v>0.62767780186341648</v>
      </c>
      <c r="D103" s="118">
        <f>(Indeks!D103/Indeks!$D$40*Indeks!$D$2)/Indeks!H103*100</f>
        <v>0.1888849777138025</v>
      </c>
      <c r="E103" s="118">
        <f>(Indeks!E103/Indeks!$E$40*Indeks!$E$2)/Indeks!H103*100</f>
        <v>8.1808499646859531E-2</v>
      </c>
      <c r="F103" s="118">
        <f>(Indeks!F103/Indeks!$F$40*Indeks!$F$2)/Indeks!H103*100</f>
        <v>8.4015658681486333E-2</v>
      </c>
      <c r="G103" s="118">
        <f>(Indeks!G103/Indeks!$G$40*Indeks!$G$2)/Indeks!H103*100</f>
        <v>1.7613062094435129E-2</v>
      </c>
      <c r="H103" s="118">
        <f t="shared" si="11"/>
        <v>1</v>
      </c>
    </row>
    <row r="104" spans="1:8" hidden="1" x14ac:dyDescent="0.2">
      <c r="A104" s="12">
        <f t="shared" si="12"/>
        <v>2013</v>
      </c>
      <c r="B104" s="13" t="s">
        <v>12</v>
      </c>
      <c r="C104" s="116">
        <f>(Indeks!C104/Indeks!$C$40*Indeks!$C$2)/Indeks!H104*100</f>
        <v>0.63058930350879339</v>
      </c>
      <c r="D104" s="116">
        <f>(Indeks!D104/Indeks!$D$40*Indeks!$D$2)/Indeks!H104*100</f>
        <v>0.18606377469315097</v>
      </c>
      <c r="E104" s="116">
        <f>(Indeks!E104/Indeks!$E$40*Indeks!$E$2)/Indeks!H104*100</f>
        <v>8.2357897312013428E-2</v>
      </c>
      <c r="F104" s="116">
        <f>(Indeks!F104/Indeks!$F$40*Indeks!$F$2)/Indeks!H104*100</f>
        <v>8.432837309042901E-2</v>
      </c>
      <c r="G104" s="116">
        <f>(Indeks!G104/Indeks!$G$40*Indeks!$G$2)/Indeks!H104*100</f>
        <v>1.6660651395613135E-2</v>
      </c>
      <c r="H104" s="116">
        <f t="shared" si="11"/>
        <v>0.99999999999999978</v>
      </c>
    </row>
    <row r="105" spans="1:8" hidden="1" x14ac:dyDescent="0.2">
      <c r="A105" s="16">
        <f t="shared" si="12"/>
        <v>2013</v>
      </c>
      <c r="B105" s="17" t="s">
        <v>13</v>
      </c>
      <c r="C105" s="117">
        <f>(Indeks!C105/Indeks!$C$40*Indeks!$C$2)/Indeks!H105*100</f>
        <v>0.63568073933128288</v>
      </c>
      <c r="D105" s="117">
        <f>(Indeks!D105/Indeks!$D$40*Indeks!$D$2)/Indeks!H105*100</f>
        <v>0.18022128589475675</v>
      </c>
      <c r="E105" s="117">
        <f>(Indeks!E105/Indeks!$E$40*Indeks!$E$2)/Indeks!H105*100</f>
        <v>8.2915344981440847E-2</v>
      </c>
      <c r="F105" s="117">
        <f>(Indeks!F105/Indeks!$F$40*Indeks!$F$2)/Indeks!H105*100</f>
        <v>8.5777403958794254E-2</v>
      </c>
      <c r="G105" s="117">
        <f>(Indeks!G105/Indeks!$G$40*Indeks!$G$2)/Indeks!H105*100</f>
        <v>1.540522583372525E-2</v>
      </c>
      <c r="H105" s="117">
        <f t="shared" si="11"/>
        <v>1</v>
      </c>
    </row>
    <row r="106" spans="1:8" hidden="1" x14ac:dyDescent="0.2">
      <c r="A106" s="21">
        <f t="shared" si="12"/>
        <v>2013</v>
      </c>
      <c r="B106" s="26" t="s">
        <v>31</v>
      </c>
      <c r="C106" s="118">
        <f>(Indeks!C106/Indeks!$C$40*Indeks!$C$2)/Indeks!H106*100</f>
        <v>0.63533334665443986</v>
      </c>
      <c r="D106" s="118">
        <f>(Indeks!D106/Indeks!$D$40*Indeks!$D$2)/Indeks!H106*100</f>
        <v>0.18096196160667405</v>
      </c>
      <c r="E106" s="118">
        <f>(Indeks!E106/Indeks!$E$40*Indeks!$E$2)/Indeks!H106*100</f>
        <v>8.2666466073506931E-2</v>
      </c>
      <c r="F106" s="118">
        <f>(Indeks!F106/Indeks!$F$40*Indeks!$F$2)/Indeks!H106*100</f>
        <v>8.511408406716954E-2</v>
      </c>
      <c r="G106" s="118">
        <f>(Indeks!G106/Indeks!$G$40*Indeks!$G$2)/Indeks!H106*100</f>
        <v>1.5924141598209735E-2</v>
      </c>
      <c r="H106" s="118">
        <f t="shared" si="11"/>
        <v>1.0000000000000002</v>
      </c>
    </row>
    <row r="107" spans="1:8" hidden="1" x14ac:dyDescent="0.2">
      <c r="A107" s="12">
        <f t="shared" si="12"/>
        <v>2013</v>
      </c>
      <c r="B107" s="13" t="s">
        <v>14</v>
      </c>
      <c r="C107" s="116">
        <f>(Indeks!C107/Indeks!$C$40*Indeks!$C$2)/Indeks!H107*100</f>
        <v>0.63427935963360171</v>
      </c>
      <c r="D107" s="116">
        <f>(Indeks!D107/Indeks!$D$40*Indeks!$D$2)/Indeks!H107*100</f>
        <v>0.18022563684893186</v>
      </c>
      <c r="E107" s="116">
        <f>(Indeks!E107/Indeks!$E$40*Indeks!$E$2)/Indeks!H107*100</f>
        <v>8.2465891139147179E-2</v>
      </c>
      <c r="F107" s="116">
        <f>(Indeks!F107/Indeks!$F$40*Indeks!$F$2)/Indeks!H107*100</f>
        <v>8.5057771950825645E-2</v>
      </c>
      <c r="G107" s="116">
        <f>(Indeks!G107/Indeks!$G$40*Indeks!$G$2)/Indeks!H107*100</f>
        <v>1.7971340427493394E-2</v>
      </c>
      <c r="H107" s="116">
        <f>SUM(C107:G107)</f>
        <v>0.99999999999999978</v>
      </c>
    </row>
    <row r="108" spans="1:8" hidden="1" x14ac:dyDescent="0.2">
      <c r="A108" s="63">
        <f t="shared" si="12"/>
        <v>2013</v>
      </c>
      <c r="B108" s="64" t="s">
        <v>15</v>
      </c>
      <c r="C108" s="91">
        <f>(Indeks!C108/Indeks!$C$40*Indeks!$C$2)/Indeks!H108*100</f>
        <v>0.63186416118919031</v>
      </c>
      <c r="D108" s="91">
        <f>(Indeks!D108/Indeks!$D$40*Indeks!$D$2)/Indeks!H108*100</f>
        <v>0.18399256143363604</v>
      </c>
      <c r="E108" s="91">
        <f>(Indeks!E108/Indeks!$E$40*Indeks!$E$2)/Indeks!H108*100</f>
        <v>8.1899103872230886E-2</v>
      </c>
      <c r="F108" s="91">
        <f>(Indeks!F108/Indeks!$F$40*Indeks!$F$2)/Indeks!H108*100</f>
        <v>8.4226501809897603E-2</v>
      </c>
      <c r="G108" s="91">
        <f>(Indeks!G108/Indeks!$G$40*Indeks!$G$2)/Indeks!H108*100</f>
        <v>1.8017671695044972E-2</v>
      </c>
      <c r="H108" s="91">
        <f>SUM(C108:G108)</f>
        <v>0.99999999999999989</v>
      </c>
    </row>
    <row r="109" spans="1:8" hidden="1" x14ac:dyDescent="0.2">
      <c r="A109" s="32">
        <f t="shared" si="12"/>
        <v>2013</v>
      </c>
      <c r="B109" s="67" t="s">
        <v>16</v>
      </c>
      <c r="C109" s="92">
        <f>(Indeks!C109/Indeks!$C$40*Indeks!$C$2)/Indeks!H109*100</f>
        <v>0.63199261584854438</v>
      </c>
      <c r="D109" s="92">
        <f>(Indeks!D109/Indeks!$D$40*Indeks!$D$2)/Indeks!H109*100</f>
        <v>0.18271916911286504</v>
      </c>
      <c r="E109" s="92">
        <f>(Indeks!E109/Indeks!$E$40*Indeks!$E$2)/Indeks!H109*100</f>
        <v>8.1781261672170286E-2</v>
      </c>
      <c r="F109" s="92">
        <f>(Indeks!F109/Indeks!$F$40*Indeks!$F$2)/Indeks!H109*100</f>
        <v>8.4040464748115676E-2</v>
      </c>
      <c r="G109" s="92">
        <f>(Indeks!G109/Indeks!$G$40*Indeks!$G$2)/Indeks!H109*100</f>
        <v>1.9466488618304741E-2</v>
      </c>
      <c r="H109" s="92">
        <f>SUM(C109:G109)</f>
        <v>1</v>
      </c>
    </row>
    <row r="110" spans="1:8" hidden="1" x14ac:dyDescent="0.2">
      <c r="A110" s="32">
        <f t="shared" si="12"/>
        <v>2013</v>
      </c>
      <c r="B110" s="67" t="s">
        <v>17</v>
      </c>
      <c r="C110" s="92">
        <f>(Indeks!C110/Indeks!$C$40*Indeks!$C$2)/Indeks!H110*100</f>
        <v>0.62915646341605469</v>
      </c>
      <c r="D110" s="92">
        <f>(Indeks!D110/Indeks!$D$40*Indeks!$D$2)/Indeks!H110*100</f>
        <v>0.1871857048026204</v>
      </c>
      <c r="E110" s="92">
        <f>(Indeks!E110/Indeks!$E$40*Indeks!$E$2)/Indeks!H110*100</f>
        <v>8.1665342020882284E-2</v>
      </c>
      <c r="F110" s="92">
        <f>(Indeks!F110/Indeks!$F$40*Indeks!$F$2)/Indeks!H110*100</f>
        <v>8.3411323826689004E-2</v>
      </c>
      <c r="G110" s="92">
        <f>(Indeks!G110/Indeks!$G$40*Indeks!$G$2)/Indeks!H110*100</f>
        <v>1.8581165933753675E-2</v>
      </c>
      <c r="H110" s="92">
        <f>SUM(C110:G110)</f>
        <v>1</v>
      </c>
    </row>
    <row r="111" spans="1:8" hidden="1" x14ac:dyDescent="0.2">
      <c r="A111" s="32">
        <f t="shared" si="12"/>
        <v>2013</v>
      </c>
      <c r="B111" s="33" t="s">
        <v>18</v>
      </c>
      <c r="C111" s="116">
        <f>(Indeks!C111/Indeks!$C$40*Indeks!$C$2)/Indeks!H111*100</f>
        <v>0.63164359856144892</v>
      </c>
      <c r="D111" s="116">
        <f>(Indeks!D111/Indeks!$D$40*Indeks!$D$2)/Indeks!H111*100</f>
        <v>0.18315983518168116</v>
      </c>
      <c r="E111" s="116">
        <f>(Indeks!E111/Indeks!$E$40*Indeks!$E$2)/Indeks!H111*100</f>
        <v>8.2114214157683774E-2</v>
      </c>
      <c r="F111" s="116">
        <f>(Indeks!F111/Indeks!$F$40*Indeks!$F$2)/Indeks!H111*100</f>
        <v>8.3741059348894101E-2</v>
      </c>
      <c r="G111" s="116">
        <f>(Indeks!G111/Indeks!$G$40*Indeks!$G$2)/Indeks!H111*100</f>
        <v>1.934129275029212E-2</v>
      </c>
      <c r="H111" s="116">
        <f>SUM(C111:G111)</f>
        <v>1</v>
      </c>
    </row>
    <row r="112" spans="1:8" hidden="1" x14ac:dyDescent="0.2">
      <c r="A112" s="56">
        <v>2014</v>
      </c>
      <c r="B112" s="57" t="s">
        <v>8</v>
      </c>
      <c r="C112" s="147">
        <f>(Indeks!C112/Indeks!$C$40*Indeks!$C$2)/Indeks!H112*100</f>
        <v>0.63535495015292309</v>
      </c>
      <c r="D112" s="147">
        <f>(Indeks!D112/Indeks!$D$40*Indeks!$D$2)/Indeks!H112*100</f>
        <v>0.18165600732184931</v>
      </c>
      <c r="E112" s="147">
        <f>(Indeks!E112/Indeks!$E$40*Indeks!$E$2)/Indeks!H112*100</f>
        <v>8.2274250458235512E-2</v>
      </c>
      <c r="F112" s="147">
        <f>(Indeks!F112/Indeks!$F$40*Indeks!$F$2)/Indeks!H112*100</f>
        <v>8.3589747155755817E-2</v>
      </c>
      <c r="G112" s="147">
        <f>(Indeks!G112/Indeks!$G$40*Indeks!$G$2)/Indeks!H112*100</f>
        <v>1.7125044911236138E-2</v>
      </c>
      <c r="H112" s="147">
        <f t="shared" ref="H112:H118" si="13">SUM(C112:G112)</f>
        <v>0.99999999999999989</v>
      </c>
    </row>
    <row r="113" spans="1:8" hidden="1" x14ac:dyDescent="0.2">
      <c r="A113" s="12">
        <f>A112</f>
        <v>2014</v>
      </c>
      <c r="B113" s="13" t="s">
        <v>9</v>
      </c>
      <c r="C113" s="116">
        <f>(Indeks!C113/Indeks!$C$40*Indeks!$C$2)/Indeks!H113*100</f>
        <v>0.63397283730216636</v>
      </c>
      <c r="D113" s="116">
        <f>(Indeks!D113/Indeks!$D$40*Indeks!$D$2)/Indeks!H113*100</f>
        <v>0.18212915921559011</v>
      </c>
      <c r="E113" s="116">
        <f>(Indeks!E113/Indeks!$E$40*Indeks!$E$2)/Indeks!H113*100</f>
        <v>8.2032125802076611E-2</v>
      </c>
      <c r="F113" s="116">
        <f>(Indeks!F113/Indeks!$F$40*Indeks!$F$2)/Indeks!H113*100</f>
        <v>8.3745937041720786E-2</v>
      </c>
      <c r="G113" s="116">
        <f>(Indeks!G113/Indeks!$G$40*Indeks!$G$2)/Indeks!H113*100</f>
        <v>1.8119940638445832E-2</v>
      </c>
      <c r="H113" s="116">
        <f t="shared" si="13"/>
        <v>0.99999999999999978</v>
      </c>
    </row>
    <row r="114" spans="1:8" hidden="1" x14ac:dyDescent="0.2">
      <c r="A114" s="16">
        <f t="shared" ref="A114:A123" si="14">A113</f>
        <v>2014</v>
      </c>
      <c r="B114" s="17" t="s">
        <v>10</v>
      </c>
      <c r="C114" s="117">
        <f>(Indeks!C114/Indeks!$C$40*Indeks!$C$2)/Indeks!H114*100</f>
        <v>0.63549448116488638</v>
      </c>
      <c r="D114" s="117">
        <f>(Indeks!D114/Indeks!$D$40*Indeks!$D$2)/Indeks!H114*100</f>
        <v>0.18115190129740832</v>
      </c>
      <c r="E114" s="117">
        <f>(Indeks!E114/Indeks!$E$40*Indeks!$E$2)/Indeks!H114*100</f>
        <v>8.2102413447421627E-2</v>
      </c>
      <c r="F114" s="117">
        <f>(Indeks!F114/Indeks!$F$40*Indeks!$F$2)/Indeks!H114*100</f>
        <v>8.3777523044971713E-2</v>
      </c>
      <c r="G114" s="117">
        <f>(Indeks!G114/Indeks!$G$40*Indeks!$G$2)/Indeks!H114*100</f>
        <v>1.7473681045311801E-2</v>
      </c>
      <c r="H114" s="117">
        <f t="shared" si="13"/>
        <v>0.99999999999999978</v>
      </c>
    </row>
    <row r="115" spans="1:8" hidden="1" x14ac:dyDescent="0.2">
      <c r="A115" s="32">
        <f t="shared" si="14"/>
        <v>2014</v>
      </c>
      <c r="B115" s="33" t="s">
        <v>11</v>
      </c>
      <c r="C115" s="116">
        <f>(Indeks!C115/Indeks!$C$40*Indeks!$C$2)/Indeks!H115*100</f>
        <v>0.63583831017228321</v>
      </c>
      <c r="D115" s="116">
        <f>(Indeks!D115/Indeks!$D$40*Indeks!$D$2)/Indeks!H115*100</f>
        <v>0.18139288166696488</v>
      </c>
      <c r="E115" s="116">
        <f>(Indeks!E115/Indeks!$E$40*Indeks!$E$2)/Indeks!H115*100</f>
        <v>8.2386255617299287E-2</v>
      </c>
      <c r="F115" s="116">
        <f>(Indeks!F115/Indeks!$F$40*Indeks!$F$2)/Indeks!H115*100</f>
        <v>8.3656659610081119E-2</v>
      </c>
      <c r="G115" s="116">
        <f>(Indeks!G115/Indeks!$G$40*Indeks!$G$2)/Indeks!H115*100</f>
        <v>1.6725892933371355E-2</v>
      </c>
      <c r="H115" s="116">
        <f t="shared" si="13"/>
        <v>0.99999999999999978</v>
      </c>
    </row>
    <row r="116" spans="1:8" hidden="1" x14ac:dyDescent="0.2">
      <c r="A116" s="12">
        <f t="shared" si="14"/>
        <v>2014</v>
      </c>
      <c r="B116" s="13" t="s">
        <v>12</v>
      </c>
      <c r="C116" s="116">
        <f>(Indeks!C116/Indeks!$C$40*Indeks!$C$2)/Indeks!H116*100</f>
        <v>0.63679966276365774</v>
      </c>
      <c r="D116" s="116">
        <f>(Indeks!D116/Indeks!$D$40*Indeks!$D$2)/Indeks!H116*100</f>
        <v>0.18068984889196468</v>
      </c>
      <c r="E116" s="116">
        <f>(Indeks!E116/Indeks!$E$40*Indeks!$E$2)/Indeks!H116*100</f>
        <v>8.257399737825101E-2</v>
      </c>
      <c r="F116" s="116">
        <f>(Indeks!F116/Indeks!$F$40*Indeks!$F$2)/Indeks!H116*100</f>
        <v>8.3529511762492945E-2</v>
      </c>
      <c r="G116" s="116">
        <f>(Indeks!G116/Indeks!$G$40*Indeks!$G$2)/Indeks!H116*100</f>
        <v>1.6406979203633584E-2</v>
      </c>
      <c r="H116" s="116">
        <f t="shared" si="13"/>
        <v>0.99999999999999989</v>
      </c>
    </row>
    <row r="117" spans="1:8" hidden="1" x14ac:dyDescent="0.2">
      <c r="A117" s="16">
        <f t="shared" si="14"/>
        <v>2014</v>
      </c>
      <c r="B117" s="17" t="s">
        <v>13</v>
      </c>
      <c r="C117" s="117">
        <f>(Indeks!C117/Indeks!$C$40*Indeks!$C$2)/Indeks!H117*100</f>
        <v>0.63768886429755045</v>
      </c>
      <c r="D117" s="117">
        <f>(Indeks!D117/Indeks!$D$40*Indeks!$D$2)/Indeks!H117*100</f>
        <v>0.1799635034639471</v>
      </c>
      <c r="E117" s="117">
        <f>(Indeks!E117/Indeks!$E$40*Indeks!$E$2)/Indeks!H117*100</f>
        <v>8.2815833376520903E-2</v>
      </c>
      <c r="F117" s="117">
        <f>(Indeks!F117/Indeks!$F$40*Indeks!$F$2)/Indeks!H117*100</f>
        <v>8.3561486931714807E-2</v>
      </c>
      <c r="G117" s="117">
        <f>(Indeks!G117/Indeks!$G$40*Indeks!$G$2)/Indeks!H117*100</f>
        <v>1.5970311930266937E-2</v>
      </c>
      <c r="H117" s="117">
        <f t="shared" si="13"/>
        <v>1.0000000000000002</v>
      </c>
    </row>
    <row r="118" spans="1:8" hidden="1" x14ac:dyDescent="0.2">
      <c r="A118" s="12">
        <f t="shared" si="14"/>
        <v>2014</v>
      </c>
      <c r="B118" s="13" t="s">
        <v>31</v>
      </c>
      <c r="C118" s="116">
        <f>(Indeks!C118/Indeks!$C$40*Indeks!$C$2)/Indeks!H118*100</f>
        <v>0.63945943569208796</v>
      </c>
      <c r="D118" s="116">
        <f>(Indeks!D118/Indeks!$D$40*Indeks!$D$2)/Indeks!H118*100</f>
        <v>0.17905242702047303</v>
      </c>
      <c r="E118" s="116">
        <f>(Indeks!E118/Indeks!$E$40*Indeks!$E$2)/Indeks!H118*100</f>
        <v>8.2783810729801385E-2</v>
      </c>
      <c r="F118" s="116">
        <f>(Indeks!F118/Indeks!$F$40*Indeks!$F$2)/Indeks!H118*100</f>
        <v>8.3762424305075231E-2</v>
      </c>
      <c r="G118" s="116">
        <f>(Indeks!G118/Indeks!$G$40*Indeks!$G$2)/Indeks!H118*100</f>
        <v>1.4941902252562457E-2</v>
      </c>
      <c r="H118" s="116">
        <f t="shared" si="13"/>
        <v>0.99999999999999989</v>
      </c>
    </row>
    <row r="119" spans="1:8" hidden="1" x14ac:dyDescent="0.2">
      <c r="A119" s="12">
        <f t="shared" si="14"/>
        <v>2014</v>
      </c>
      <c r="B119" s="13" t="s">
        <v>14</v>
      </c>
      <c r="C119" s="116">
        <f>(Indeks!C119/Indeks!$C$40*Indeks!$C$2)/Indeks!H119*100</f>
        <v>0.63820008039494114</v>
      </c>
      <c r="D119" s="116">
        <f>(Indeks!D119/Indeks!$D$40*Indeks!$D$2)/Indeks!H119*100</f>
        <v>0.18076255597704977</v>
      </c>
      <c r="E119" s="116">
        <f>(Indeks!E119/Indeks!$E$40*Indeks!$E$2)/Indeks!H119*100</f>
        <v>8.2557610059340758E-2</v>
      </c>
      <c r="F119" s="116">
        <f>(Indeks!F119/Indeks!$F$40*Indeks!$F$2)/Indeks!H119*100</f>
        <v>8.3681989339780438E-2</v>
      </c>
      <c r="G119" s="116">
        <f>(Indeks!G119/Indeks!$G$40*Indeks!$G$2)/Indeks!H119*100</f>
        <v>1.4797764228887842E-2</v>
      </c>
      <c r="H119" s="116">
        <f>SUM(C119:G119)</f>
        <v>0.99999999999999989</v>
      </c>
    </row>
    <row r="120" spans="1:8" hidden="1" x14ac:dyDescent="0.2">
      <c r="A120" s="16">
        <f t="shared" si="14"/>
        <v>2014</v>
      </c>
      <c r="B120" s="17" t="s">
        <v>15</v>
      </c>
      <c r="C120" s="117">
        <f>(Indeks!C120/Indeks!$C$40*Indeks!$C$2)/Indeks!H120*100</f>
        <v>0.63933172262948534</v>
      </c>
      <c r="D120" s="117">
        <f>(Indeks!D120/Indeks!$D$40*Indeks!$D$2)/Indeks!H120*100</f>
        <v>0.17934294242705881</v>
      </c>
      <c r="E120" s="117">
        <f>(Indeks!E120/Indeks!$E$40*Indeks!$E$2)/Indeks!H120*100</f>
        <v>8.2640721648510301E-2</v>
      </c>
      <c r="F120" s="117">
        <f>(Indeks!F120/Indeks!$F$40*Indeks!$F$2)/Indeks!H120*100</f>
        <v>8.374569524433749E-2</v>
      </c>
      <c r="G120" s="117">
        <f>(Indeks!G120/Indeks!$G$40*Indeks!$G$2)/Indeks!H120*100</f>
        <v>1.493891805060801E-2</v>
      </c>
      <c r="H120" s="117">
        <f>SUM(C120:G120)</f>
        <v>1</v>
      </c>
    </row>
    <row r="121" spans="1:8" hidden="1" x14ac:dyDescent="0.2">
      <c r="A121" s="32">
        <f t="shared" si="14"/>
        <v>2014</v>
      </c>
      <c r="B121" s="33" t="s">
        <v>16</v>
      </c>
      <c r="C121" s="116">
        <f>(Indeks!C121/Indeks!$C$40*Indeks!$C$2)/Indeks!H121*100</f>
        <v>0.64063912184651284</v>
      </c>
      <c r="D121" s="116">
        <f>(Indeks!D121/Indeks!$D$40*Indeks!$D$2)/Indeks!H121*100</f>
        <v>0.17943018186484036</v>
      </c>
      <c r="E121" s="116">
        <f>(Indeks!E121/Indeks!$E$40*Indeks!$E$2)/Indeks!H121*100</f>
        <v>8.2354535872584927E-2</v>
      </c>
      <c r="F121" s="116">
        <f>(Indeks!F121/Indeks!$F$40*Indeks!$F$2)/Indeks!H121*100</f>
        <v>8.3583682445755272E-2</v>
      </c>
      <c r="G121" s="116">
        <f>(Indeks!G121/Indeks!$G$40*Indeks!$G$2)/Indeks!H121*100</f>
        <v>1.3992477970306581E-2</v>
      </c>
      <c r="H121" s="116">
        <f>SUM(C121:G121)</f>
        <v>1</v>
      </c>
    </row>
    <row r="122" spans="1:8" hidden="1" x14ac:dyDescent="0.2">
      <c r="A122" s="32">
        <f t="shared" si="14"/>
        <v>2014</v>
      </c>
      <c r="B122" s="67" t="s">
        <v>17</v>
      </c>
      <c r="C122" s="116">
        <f>(Indeks!C122/Indeks!$C$40*Indeks!$C$2)/Indeks!H122*100</f>
        <v>0.64185199161971029</v>
      </c>
      <c r="D122" s="116">
        <f>(Indeks!D122/Indeks!$D$40*Indeks!$D$2)/Indeks!H122*100</f>
        <v>0.17792106931915311</v>
      </c>
      <c r="E122" s="116">
        <f>(Indeks!E122/Indeks!$E$40*Indeks!$E$2)/Indeks!H122*100</f>
        <v>8.2763550538147074E-2</v>
      </c>
      <c r="F122" s="116">
        <f>(Indeks!F122/Indeks!$F$40*Indeks!$F$2)/Indeks!H122*100</f>
        <v>8.3904058056816264E-2</v>
      </c>
      <c r="G122" s="116">
        <f>(Indeks!G122/Indeks!$G$40*Indeks!$G$2)/Indeks!H122*100</f>
        <v>1.3559330466173407E-2</v>
      </c>
      <c r="H122" s="116">
        <f>SUM(C122:G122)</f>
        <v>1</v>
      </c>
    </row>
    <row r="123" spans="1:8" ht="13.5" hidden="1" thickBot="1" x14ac:dyDescent="0.25">
      <c r="A123" s="72">
        <f t="shared" si="14"/>
        <v>2014</v>
      </c>
      <c r="B123" s="73" t="s">
        <v>18</v>
      </c>
      <c r="C123" s="93">
        <f>(Indeks!C123/Indeks!$C$40*Indeks!$C$2)/Indeks!H123*100</f>
        <v>0.64473628488000811</v>
      </c>
      <c r="D123" s="93">
        <f>(Indeks!D123/Indeks!$D$40*Indeks!$D$2)/Indeks!H123*100</f>
        <v>0.17358620045604584</v>
      </c>
      <c r="E123" s="93">
        <f>(Indeks!E123/Indeks!$E$40*Indeks!$E$2)/Indeks!H123*100</f>
        <v>8.319902471197263E-2</v>
      </c>
      <c r="F123" s="93">
        <f>(Indeks!F123/Indeks!$F$40*Indeks!$F$2)/Indeks!H123*100</f>
        <v>8.4281098110169095E-2</v>
      </c>
      <c r="G123" s="93">
        <f>(Indeks!G123/Indeks!$G$40*Indeks!$G$2)/Indeks!H123*100</f>
        <v>1.419739184180443E-2</v>
      </c>
      <c r="H123" s="93">
        <f>SUM(C123:G123)</f>
        <v>1</v>
      </c>
    </row>
    <row r="124" spans="1:8" hidden="1" x14ac:dyDescent="0.2">
      <c r="A124" s="56">
        <v>2015</v>
      </c>
      <c r="B124" s="67" t="s">
        <v>8</v>
      </c>
      <c r="C124" s="116">
        <f>(Indeks!C124/Indeks!$C$40*Indeks!$C$2)/Indeks!H124*100</f>
        <v>0.64673045313552091</v>
      </c>
      <c r="D124" s="116">
        <f>(Indeks!D124/Indeks!$D$40*Indeks!$D$2)/Indeks!H124*100</f>
        <v>0.1727478368420674</v>
      </c>
      <c r="E124" s="116">
        <f>(Indeks!E124/Indeks!$E$40*Indeks!$E$2)/Indeks!H124*100</f>
        <v>8.292054898413459E-2</v>
      </c>
      <c r="F124" s="147">
        <f>(Indeks!F124/Indeks!$F$40*Indeks!$F$2)/Indeks!H124*100</f>
        <v>8.4110608981765991E-2</v>
      </c>
      <c r="G124" s="116">
        <f>(Indeks!G124/Indeks!$G$40*Indeks!$G$2)/Indeks!H124*100</f>
        <v>1.3490552056511106E-2</v>
      </c>
      <c r="H124" s="116">
        <f t="shared" ref="H124:H135" si="15">SUM(C124:G124)</f>
        <v>1</v>
      </c>
    </row>
    <row r="125" spans="1:8" hidden="1" x14ac:dyDescent="0.2">
      <c r="A125" s="32">
        <f>A124</f>
        <v>2015</v>
      </c>
      <c r="B125" s="33" t="s">
        <v>9</v>
      </c>
      <c r="C125" s="116">
        <f>(Indeks!C125/Indeks!$C$40*Indeks!$C$2)/Indeks!H125*100</f>
        <v>0.65568602342358484</v>
      </c>
      <c r="D125" s="116">
        <f>(Indeks!D125/Indeks!$D$40*Indeks!$D$2)/Indeks!H125*100</f>
        <v>0.16197403254547038</v>
      </c>
      <c r="E125" s="116">
        <f>(Indeks!E125/Indeks!$E$40*Indeks!$E$2)/Indeks!H125*100</f>
        <v>8.387567388246317E-2</v>
      </c>
      <c r="F125" s="116">
        <f>(Indeks!F125/Indeks!$F$40*Indeks!$F$2)/Indeks!H125*100</f>
        <v>8.5605211991969341E-2</v>
      </c>
      <c r="G125" s="116">
        <f>(Indeks!G125/Indeks!$G$40*Indeks!$G$2)/Indeks!H125*100</f>
        <v>1.285905815651224E-2</v>
      </c>
      <c r="H125" s="116">
        <f t="shared" si="15"/>
        <v>1</v>
      </c>
    </row>
    <row r="126" spans="1:8" hidden="1" x14ac:dyDescent="0.2">
      <c r="A126" s="16">
        <f t="shared" ref="A126:A135" si="16">A125</f>
        <v>2015</v>
      </c>
      <c r="B126" s="17" t="s">
        <v>10</v>
      </c>
      <c r="C126" s="117">
        <f>(Indeks!C126/Indeks!$C$40*Indeks!$C$2)/Indeks!H126*100</f>
        <v>0.66236164285808263</v>
      </c>
      <c r="D126" s="117">
        <f>(Indeks!D126/Indeks!$D$40*Indeks!$D$2)/Indeks!H126*100</f>
        <v>0.15624665826297077</v>
      </c>
      <c r="E126" s="117">
        <f>(Indeks!E126/Indeks!$E$40*Indeks!$E$2)/Indeks!H126*100</f>
        <v>8.4274436356898463E-2</v>
      </c>
      <c r="F126" s="117">
        <f>(Indeks!F126/Indeks!$F$40*Indeks!$F$2)/Indeks!H126*100</f>
        <v>8.6843370991597765E-2</v>
      </c>
      <c r="G126" s="117">
        <f>(Indeks!G126/Indeks!$G$40*Indeks!$G$2)/Indeks!H126*100</f>
        <v>1.0273891530450423E-2</v>
      </c>
      <c r="H126" s="117">
        <f t="shared" si="15"/>
        <v>1</v>
      </c>
    </row>
    <row r="127" spans="1:8" hidden="1" x14ac:dyDescent="0.2">
      <c r="A127" s="32">
        <f t="shared" si="16"/>
        <v>2015</v>
      </c>
      <c r="B127" s="33" t="s">
        <v>11</v>
      </c>
      <c r="C127" s="116">
        <f>(Indeks!C127/Indeks!$C$40*Indeks!$C$2)/Indeks!H127*100</f>
        <v>0.65684408601781064</v>
      </c>
      <c r="D127" s="116">
        <f>(Indeks!D127/Indeks!$D$40*Indeks!$D$2)/Indeks!H127*100</f>
        <v>0.16352744383496018</v>
      </c>
      <c r="E127" s="116">
        <f>(Indeks!E127/Indeks!$E$40*Indeks!$E$2)/Indeks!H127*100</f>
        <v>8.4093518720260413E-2</v>
      </c>
      <c r="F127" s="116">
        <f>(Indeks!F127/Indeks!$F$40*Indeks!$F$2)/Indeks!H127*100</f>
        <v>8.5968263670224421E-2</v>
      </c>
      <c r="G127" s="116">
        <f>(Indeks!G127/Indeks!$G$40*Indeks!$G$2)/Indeks!H127*100</f>
        <v>9.5666877567443867E-3</v>
      </c>
      <c r="H127" s="116">
        <f t="shared" si="15"/>
        <v>1</v>
      </c>
    </row>
    <row r="128" spans="1:8" hidden="1" x14ac:dyDescent="0.2">
      <c r="A128" s="32">
        <f t="shared" si="16"/>
        <v>2015</v>
      </c>
      <c r="B128" s="67" t="s">
        <v>12</v>
      </c>
      <c r="C128" s="116">
        <f>(Indeks!C128/Indeks!$C$40*Indeks!$C$2)/Indeks!H128*100</f>
        <v>0.65554554002440435</v>
      </c>
      <c r="D128" s="116">
        <f>(Indeks!D128/Indeks!$D$40*Indeks!$D$2)/Indeks!H128*100</f>
        <v>0.16430614495045315</v>
      </c>
      <c r="E128" s="116">
        <f>(Indeks!E128/Indeks!$E$40*Indeks!$E$2)/Indeks!H128*100</f>
        <v>8.4311963654838964E-2</v>
      </c>
      <c r="F128" s="116">
        <f>(Indeks!F128/Indeks!$F$40*Indeks!$F$2)/Indeks!H128*100</f>
        <v>8.6055703889861793E-2</v>
      </c>
      <c r="G128" s="116">
        <f>(Indeks!G128/Indeks!$G$40*Indeks!$G$2)/Indeks!H128*100</f>
        <v>9.7806474804415372E-3</v>
      </c>
      <c r="H128" s="116">
        <f t="shared" si="15"/>
        <v>0.99999999999999978</v>
      </c>
    </row>
    <row r="129" spans="1:8" hidden="1" x14ac:dyDescent="0.2">
      <c r="A129" s="16">
        <f t="shared" si="16"/>
        <v>2015</v>
      </c>
      <c r="B129" s="17" t="s">
        <v>13</v>
      </c>
      <c r="C129" s="117">
        <f>(Indeks!C129/Indeks!$C$40*Indeks!$C$2)/Indeks!H129*100</f>
        <v>0.65474006095967408</v>
      </c>
      <c r="D129" s="117">
        <f>(Indeks!D129/Indeks!$D$40*Indeks!$D$2)/Indeks!H129*100</f>
        <v>0.1652048916079174</v>
      </c>
      <c r="E129" s="117">
        <f>(Indeks!E129/Indeks!$E$40*Indeks!$E$2)/Indeks!H129*100</f>
        <v>8.4251340820532303E-2</v>
      </c>
      <c r="F129" s="117">
        <f>(Indeks!F129/Indeks!$F$40*Indeks!$F$2)/Indeks!H129*100</f>
        <v>8.6965422465667894E-2</v>
      </c>
      <c r="G129" s="117">
        <f>(Indeks!G129/Indeks!$G$40*Indeks!$G$2)/Indeks!H129*100</f>
        <v>8.8382841462081464E-3</v>
      </c>
      <c r="H129" s="117">
        <f t="shared" si="15"/>
        <v>0.99999999999999978</v>
      </c>
    </row>
    <row r="130" spans="1:8" hidden="1" x14ac:dyDescent="0.2">
      <c r="A130" s="12">
        <f t="shared" si="16"/>
        <v>2015</v>
      </c>
      <c r="B130" s="13" t="s">
        <v>31</v>
      </c>
      <c r="C130" s="116">
        <f>(Indeks!C130/Indeks!$C$40*Indeks!$C$2)/Indeks!H130*100</f>
        <v>0.65249919131062917</v>
      </c>
      <c r="D130" s="116">
        <f>(Indeks!D130/Indeks!$D$40*Indeks!$D$2)/Indeks!H130*100</f>
        <v>0.16578316133552706</v>
      </c>
      <c r="E130" s="116">
        <f>(Indeks!E130/Indeks!$E$40*Indeks!$E$2)/Indeks!H130*100</f>
        <v>8.3807708207086981E-2</v>
      </c>
      <c r="F130" s="116">
        <f>(Indeks!F130/Indeks!$F$40*Indeks!$F$2)/Indeks!H130*100</f>
        <v>8.6463375270498591E-2</v>
      </c>
      <c r="G130" s="116">
        <f>(Indeks!G130/Indeks!$G$40*Indeks!$G$2)/Indeks!H130*100</f>
        <v>1.1446563876258323E-2</v>
      </c>
      <c r="H130" s="116">
        <f t="shared" si="15"/>
        <v>1.0000000000000002</v>
      </c>
    </row>
    <row r="131" spans="1:8" hidden="1" x14ac:dyDescent="0.2">
      <c r="A131" s="32">
        <f t="shared" si="16"/>
        <v>2015</v>
      </c>
      <c r="B131" s="33" t="s">
        <v>14</v>
      </c>
      <c r="C131" s="116">
        <f>(Indeks!C131/Indeks!$C$40*Indeks!$C$2)/Indeks!H131*100</f>
        <v>0.65235850168902765</v>
      </c>
      <c r="D131" s="116">
        <f>(Indeks!D131/Indeks!$D$40*Indeks!$D$2)/Indeks!H131*100</f>
        <v>0.1644345649252042</v>
      </c>
      <c r="E131" s="116">
        <f>(Indeks!E131/Indeks!$E$40*Indeks!$E$2)/Indeks!H131*100</f>
        <v>8.3767838845100098E-2</v>
      </c>
      <c r="F131" s="116">
        <f>(Indeks!F131/Indeks!$F$40*Indeks!$F$2)/Indeks!H131*100</f>
        <v>8.660783560476544E-2</v>
      </c>
      <c r="G131" s="116">
        <f>(Indeks!G131/Indeks!$G$40*Indeks!$G$2)/Indeks!H131*100</f>
        <v>1.2831258935902654E-2</v>
      </c>
      <c r="H131" s="116">
        <f t="shared" si="15"/>
        <v>1</v>
      </c>
    </row>
    <row r="132" spans="1:8" hidden="1" x14ac:dyDescent="0.2">
      <c r="A132" s="16">
        <f t="shared" si="16"/>
        <v>2015</v>
      </c>
      <c r="B132" s="17" t="s">
        <v>15</v>
      </c>
      <c r="C132" s="117">
        <f>(Indeks!C132/Indeks!$C$40*Indeks!$C$2)/Indeks!H132*100</f>
        <v>0.65540297909551304</v>
      </c>
      <c r="D132" s="117">
        <f>(Indeks!D132/Indeks!$D$40*Indeks!$D$2)/Indeks!H132*100</f>
        <v>0.1617946018038785</v>
      </c>
      <c r="E132" s="117">
        <f>(Indeks!E132/Indeks!$E$40*Indeks!$E$2)/Indeks!H132*100</f>
        <v>8.4094822676719472E-2</v>
      </c>
      <c r="F132" s="117">
        <f>(Indeks!F132/Indeks!$F$40*Indeks!$F$2)/Indeks!H132*100</f>
        <v>8.7093956015489124E-2</v>
      </c>
      <c r="G132" s="117">
        <f>(Indeks!G132/Indeks!$G$40*Indeks!$G$2)/Indeks!H132*100</f>
        <v>1.1613640408399812E-2</v>
      </c>
      <c r="H132" s="117">
        <f t="shared" si="15"/>
        <v>0.99999999999999989</v>
      </c>
    </row>
    <row r="133" spans="1:8" hidden="1" x14ac:dyDescent="0.2">
      <c r="A133" s="32">
        <f t="shared" si="16"/>
        <v>2015</v>
      </c>
      <c r="B133" s="33" t="s">
        <v>16</v>
      </c>
      <c r="C133" s="116">
        <f>(Indeks!C133/Indeks!$C$40*Indeks!$C$2)/Indeks!H133*100</f>
        <v>0.65996806183455248</v>
      </c>
      <c r="D133" s="116">
        <f>(Indeks!D133/Indeks!$D$40*Indeks!$D$2)/Indeks!H133*100</f>
        <v>0.15609781828314234</v>
      </c>
      <c r="E133" s="116">
        <f>(Indeks!E133/Indeks!$E$40*Indeks!$E$2)/Indeks!H133*100</f>
        <v>8.402663338184882E-2</v>
      </c>
      <c r="F133" s="116">
        <f>(Indeks!F133/Indeks!$F$40*Indeks!$F$2)/Indeks!H133*100</f>
        <v>8.7453083401262094E-2</v>
      </c>
      <c r="G133" s="116">
        <f>(Indeks!G133/Indeks!$G$40*Indeks!$G$2)/Indeks!H133*100</f>
        <v>1.2454403099194272E-2</v>
      </c>
      <c r="H133" s="116">
        <f t="shared" si="15"/>
        <v>1</v>
      </c>
    </row>
    <row r="134" spans="1:8" hidden="1" x14ac:dyDescent="0.2">
      <c r="A134" s="32">
        <f t="shared" si="16"/>
        <v>2015</v>
      </c>
      <c r="B134" s="67" t="s">
        <v>17</v>
      </c>
      <c r="C134" s="116">
        <f>(Indeks!C134/Indeks!$C$40*Indeks!$C$2)/Indeks!H134*100</f>
        <v>0.66120424699573543</v>
      </c>
      <c r="D134" s="116">
        <f>(Indeks!D134/Indeks!$D$40*Indeks!$D$2)/Indeks!H134*100</f>
        <v>0.15374139405708265</v>
      </c>
      <c r="E134" s="116">
        <f>(Indeks!E134/Indeks!$E$40*Indeks!$E$2)/Indeks!H134*100</f>
        <v>8.4376664325683109E-2</v>
      </c>
      <c r="F134" s="116">
        <f>(Indeks!F134/Indeks!$F$40*Indeks!$F$2)/Indeks!H134*100</f>
        <v>8.7616891637224026E-2</v>
      </c>
      <c r="G134" s="116">
        <f>(Indeks!G134/Indeks!$G$40*Indeks!$G$2)/Indeks!H134*100</f>
        <v>1.3060802984274773E-2</v>
      </c>
      <c r="H134" s="116">
        <f t="shared" si="15"/>
        <v>1</v>
      </c>
    </row>
    <row r="135" spans="1:8" hidden="1" x14ac:dyDescent="0.2">
      <c r="A135" s="16">
        <f t="shared" si="16"/>
        <v>2015</v>
      </c>
      <c r="B135" s="17" t="s">
        <v>18</v>
      </c>
      <c r="C135" s="117">
        <f>(Indeks!C135/Indeks!$C$40*Indeks!$C$2)/Indeks!H135*100</f>
        <v>0.66103904203571173</v>
      </c>
      <c r="D135" s="117">
        <f>(Indeks!D135/Indeks!$D$40*Indeks!$D$2)/Indeks!H135*100</f>
        <v>0.15425467876045981</v>
      </c>
      <c r="E135" s="117">
        <f>(Indeks!E135/Indeks!$E$40*Indeks!$E$2)/Indeks!H135*100</f>
        <v>8.4355582423199585E-2</v>
      </c>
      <c r="F135" s="117">
        <f>(Indeks!F135/Indeks!$F$40*Indeks!$F$2)/Indeks!H135*100</f>
        <v>8.7759497801720238E-2</v>
      </c>
      <c r="G135" s="117">
        <f>(Indeks!G135/Indeks!$G$40*Indeks!$G$2)/Indeks!H135*100</f>
        <v>1.2591198978908699E-2</v>
      </c>
      <c r="H135" s="117">
        <f t="shared" si="15"/>
        <v>1</v>
      </c>
    </row>
    <row r="136" spans="1:8" hidden="1" x14ac:dyDescent="0.2">
      <c r="A136" s="56">
        <v>2016</v>
      </c>
      <c r="B136" s="67" t="s">
        <v>8</v>
      </c>
      <c r="C136" s="116">
        <f>(Indeks!C136/Indeks!$C$40*Indeks!$C$2)/Indeks!H136*100</f>
        <v>0.66318952881571003</v>
      </c>
      <c r="D136" s="116">
        <f>(Indeks!D136/Indeks!$D$40*Indeks!$D$2)/Indeks!H136*100</f>
        <v>0.15283904887282665</v>
      </c>
      <c r="E136" s="116">
        <f>(Indeks!E136/Indeks!$E$40*Indeks!$E$2)/Indeks!H136*100</f>
        <v>8.4109129356729817E-2</v>
      </c>
      <c r="F136" s="116">
        <f>(Indeks!F136/Indeks!$F$40*Indeks!$F$2)/Indeks!H136*100</f>
        <v>8.7852543838209216E-2</v>
      </c>
      <c r="G136" s="116">
        <f>(Indeks!G136/Indeks!$G$40*Indeks!$G$2)/Indeks!H136*100</f>
        <v>1.2009749116524273E-2</v>
      </c>
      <c r="H136" s="116">
        <f t="shared" ref="H136:H147" si="17">SUM(C136:G136)</f>
        <v>1</v>
      </c>
    </row>
    <row r="137" spans="1:8" hidden="1" x14ac:dyDescent="0.2">
      <c r="A137" s="32">
        <f>A136</f>
        <v>2016</v>
      </c>
      <c r="B137" s="33" t="s">
        <v>9</v>
      </c>
      <c r="C137" s="116">
        <f>(Indeks!C137/Indeks!$C$40*Indeks!$C$2)/Indeks!H137*100</f>
        <v>0.66867751239187356</v>
      </c>
      <c r="D137" s="116">
        <f>(Indeks!D137/Indeks!$D$40*Indeks!$D$2)/Indeks!H137*100</f>
        <v>0.14509124323860581</v>
      </c>
      <c r="E137" s="116">
        <f>(Indeks!E137/Indeks!$E$40*Indeks!$E$2)/Indeks!H137*100</f>
        <v>8.4837191058016653E-2</v>
      </c>
      <c r="F137" s="116">
        <f>(Indeks!F137/Indeks!$F$40*Indeks!$F$2)/Indeks!H137*100</f>
        <v>8.8579535590580891E-2</v>
      </c>
      <c r="G137" s="116">
        <f>(Indeks!G137/Indeks!$G$40*Indeks!$G$2)/Indeks!H137*100</f>
        <v>1.2814517720923284E-2</v>
      </c>
      <c r="H137" s="116">
        <f t="shared" si="17"/>
        <v>1.0000000000000002</v>
      </c>
    </row>
    <row r="138" spans="1:8" hidden="1" x14ac:dyDescent="0.2">
      <c r="A138" s="16">
        <f t="shared" ref="A138:A147" si="18">A137</f>
        <v>2016</v>
      </c>
      <c r="B138" s="17" t="s">
        <v>10</v>
      </c>
      <c r="C138" s="117">
        <f>(Indeks!C138/Indeks!$C$40*Indeks!$C$2)/Indeks!H138*100</f>
        <v>0.67243734206108119</v>
      </c>
      <c r="D138" s="117">
        <f>(Indeks!D138/Indeks!$D$40*Indeks!$D$2)/Indeks!H138*100</f>
        <v>0.14057490836111153</v>
      </c>
      <c r="E138" s="117">
        <f>(Indeks!E138/Indeks!$E$40*Indeks!$E$2)/Indeks!H138*100</f>
        <v>8.494017334540177E-2</v>
      </c>
      <c r="F138" s="117">
        <f>(Indeks!F138/Indeks!$F$40*Indeks!$F$2)/Indeks!H138*100</f>
        <v>8.9161005237623242E-2</v>
      </c>
      <c r="G138" s="117">
        <f>(Indeks!G138/Indeks!$G$40*Indeks!$G$2)/Indeks!H138*100</f>
        <v>1.2886570994782265E-2</v>
      </c>
      <c r="H138" s="117">
        <f t="shared" si="17"/>
        <v>1</v>
      </c>
    </row>
    <row r="139" spans="1:8" hidden="1" x14ac:dyDescent="0.2">
      <c r="A139" s="32">
        <f t="shared" si="18"/>
        <v>2016</v>
      </c>
      <c r="B139" s="33" t="s">
        <v>11</v>
      </c>
      <c r="C139" s="116">
        <f>(Indeks!C139/Indeks!$C$40*Indeks!$C$2)/Indeks!H139*100</f>
        <v>0.6754505485456167</v>
      </c>
      <c r="D139" s="116">
        <f>(Indeks!D139/Indeks!$D$40*Indeks!$D$2)/Indeks!H139*100</f>
        <v>0.1383928124575505</v>
      </c>
      <c r="E139" s="116">
        <f>(Indeks!E139/Indeks!$E$40*Indeks!$E$2)/Indeks!H139*100</f>
        <v>8.5587836858725938E-2</v>
      </c>
      <c r="F139" s="116">
        <f>(Indeks!F139/Indeks!$F$40*Indeks!$F$2)/Indeks!H139*100</f>
        <v>8.9212594621736072E-2</v>
      </c>
      <c r="G139" s="116">
        <f>(Indeks!G139/Indeks!$G$40*Indeks!$G$2)/Indeks!H139*100</f>
        <v>1.1356207516370686E-2</v>
      </c>
      <c r="H139" s="116">
        <f t="shared" si="17"/>
        <v>0.99999999999999989</v>
      </c>
    </row>
    <row r="140" spans="1:8" hidden="1" x14ac:dyDescent="0.2">
      <c r="A140" s="32">
        <f t="shared" si="18"/>
        <v>2016</v>
      </c>
      <c r="B140" s="67" t="s">
        <v>12</v>
      </c>
      <c r="C140" s="116">
        <f>(Indeks!C140/Indeks!$C$40*Indeks!$C$2)/Indeks!H140*100</f>
        <v>0.67121870162955566</v>
      </c>
      <c r="D140" s="116">
        <f>(Indeks!D140/Indeks!$D$40*Indeks!$D$2)/Indeks!H140*100</f>
        <v>0.14491615341422015</v>
      </c>
      <c r="E140" s="116">
        <f>(Indeks!E140/Indeks!$E$40*Indeks!$E$2)/Indeks!H140*100</f>
        <v>8.5136576795123042E-2</v>
      </c>
      <c r="F140" s="116">
        <f>(Indeks!F140/Indeks!$F$40*Indeks!$F$2)/Indeks!H140*100</f>
        <v>8.8736589398371729E-2</v>
      </c>
      <c r="G140" s="116">
        <f>(Indeks!G140/Indeks!$G$40*Indeks!$G$2)/Indeks!H140*100</f>
        <v>9.9919787627293331E-3</v>
      </c>
      <c r="H140" s="116">
        <f t="shared" si="17"/>
        <v>0.99999999999999978</v>
      </c>
    </row>
    <row r="141" spans="1:8" hidden="1" x14ac:dyDescent="0.2">
      <c r="A141" s="16">
        <f t="shared" si="18"/>
        <v>2016</v>
      </c>
      <c r="B141" s="17" t="s">
        <v>13</v>
      </c>
      <c r="C141" s="117">
        <f>(Indeks!C141/Indeks!$C$40*Indeks!$C$2)/Indeks!H141*100</f>
        <v>0.67165466957090036</v>
      </c>
      <c r="D141" s="117">
        <f>(Indeks!D141/Indeks!$D$40*Indeks!$D$2)/Indeks!H141*100</f>
        <v>0.14420645253616504</v>
      </c>
      <c r="E141" s="117">
        <f>(Indeks!E141/Indeks!$E$40*Indeks!$E$2)/Indeks!H141*100</f>
        <v>8.5276896277818967E-2</v>
      </c>
      <c r="F141" s="117">
        <f>(Indeks!F141/Indeks!$F$40*Indeks!$F$2)/Indeks!H141*100</f>
        <v>8.8628254804965917E-2</v>
      </c>
      <c r="G141" s="117">
        <f>(Indeks!G141/Indeks!$G$40*Indeks!$G$2)/Indeks!H141*100</f>
        <v>1.0233726810149616E-2</v>
      </c>
      <c r="H141" s="117">
        <f t="shared" si="17"/>
        <v>1</v>
      </c>
    </row>
    <row r="142" spans="1:8" hidden="1" x14ac:dyDescent="0.2">
      <c r="A142" s="12">
        <f t="shared" si="18"/>
        <v>2016</v>
      </c>
      <c r="B142" s="13" t="s">
        <v>31</v>
      </c>
      <c r="C142" s="116">
        <f>(Indeks!C142/Indeks!$C$40*Indeks!$C$2)/Indeks!H142*100</f>
        <v>0.67042123165096135</v>
      </c>
      <c r="D142" s="116">
        <f>(Indeks!D142/Indeks!$D$40*Indeks!$D$2)/Indeks!H142*100</f>
        <v>0.1471530144356307</v>
      </c>
      <c r="E142" s="116">
        <f>(Indeks!E142/Indeks!$E$40*Indeks!$E$2)/Indeks!H142*100</f>
        <v>8.4828640307242409E-2</v>
      </c>
      <c r="F142" s="116">
        <f>(Indeks!F142/Indeks!$F$40*Indeks!$F$2)/Indeks!H142*100</f>
        <v>8.7904550200323145E-2</v>
      </c>
      <c r="G142" s="116">
        <f>(Indeks!G142/Indeks!$G$40*Indeks!$G$2)/Indeks!H142*100</f>
        <v>9.6925634058423679E-3</v>
      </c>
      <c r="H142" s="116">
        <f t="shared" si="17"/>
        <v>1</v>
      </c>
    </row>
    <row r="143" spans="1:8" hidden="1" x14ac:dyDescent="0.2">
      <c r="A143" s="32">
        <f t="shared" si="18"/>
        <v>2016</v>
      </c>
      <c r="B143" s="33" t="s">
        <v>14</v>
      </c>
      <c r="C143" s="116">
        <f>(Indeks!C143/Indeks!$C$40*Indeks!$C$2)/Indeks!H143*100</f>
        <v>0.66804902785344378</v>
      </c>
      <c r="D143" s="116">
        <f>(Indeks!D143/Indeks!$D$40*Indeks!$D$2)/Indeks!H143*100</f>
        <v>0.1525167091590274</v>
      </c>
      <c r="E143" s="116">
        <f>(Indeks!E143/Indeks!$E$40*Indeks!$E$2)/Indeks!H143*100</f>
        <v>8.4612592449708604E-2</v>
      </c>
      <c r="F143" s="116">
        <f>(Indeks!F143/Indeks!$F$40*Indeks!$F$2)/Indeks!H143*100</f>
        <v>8.7839790452148556E-2</v>
      </c>
      <c r="G143" s="116">
        <f>(Indeks!G143/Indeks!$G$40*Indeks!$G$2)/Indeks!H143*100</f>
        <v>6.9818800856716679E-3</v>
      </c>
      <c r="H143" s="116">
        <f t="shared" si="17"/>
        <v>1</v>
      </c>
    </row>
    <row r="144" spans="1:8" hidden="1" x14ac:dyDescent="0.2">
      <c r="A144" s="16">
        <f t="shared" si="18"/>
        <v>2016</v>
      </c>
      <c r="B144" s="17" t="s">
        <v>15</v>
      </c>
      <c r="C144" s="117">
        <f>(Indeks!C144/Indeks!$C$40*Indeks!$C$2)/Indeks!H144*100</f>
        <v>0.6707480307449778</v>
      </c>
      <c r="D144" s="117">
        <f>(Indeks!D144/Indeks!$D$40*Indeks!$D$2)/Indeks!H144*100</f>
        <v>0.14866186256766889</v>
      </c>
      <c r="E144" s="117">
        <f>(Indeks!E144/Indeks!$E$40*Indeks!$E$2)/Indeks!H144*100</f>
        <v>8.4869990314506941E-2</v>
      </c>
      <c r="F144" s="117">
        <f>(Indeks!F144/Indeks!$F$40*Indeks!$F$2)/Indeks!H144*100</f>
        <v>8.8359524216788859E-2</v>
      </c>
      <c r="G144" s="117">
        <f>(Indeks!G144/Indeks!$G$40*Indeks!$G$2)/Indeks!H144*100</f>
        <v>7.3605921560575662E-3</v>
      </c>
      <c r="H144" s="117">
        <f t="shared" si="17"/>
        <v>1</v>
      </c>
    </row>
    <row r="145" spans="1:10" hidden="1" x14ac:dyDescent="0.2">
      <c r="A145" s="32">
        <f t="shared" si="18"/>
        <v>2016</v>
      </c>
      <c r="B145" s="33" t="s">
        <v>16</v>
      </c>
      <c r="C145" s="116">
        <f>(Indeks!C145/Indeks!$C$40*Indeks!$C$2)/Indeks!H145*100</f>
        <v>0.6740619911795952</v>
      </c>
      <c r="D145" s="116">
        <f>(Indeks!D145/Indeks!$D$40*Indeks!$D$2)/Indeks!H145*100</f>
        <v>0.14551227221604879</v>
      </c>
      <c r="E145" s="116">
        <f>(Indeks!E145/Indeks!$E$40*Indeks!$E$2)/Indeks!H145*100</f>
        <v>8.4642244076392037E-2</v>
      </c>
      <c r="F145" s="116">
        <f>(Indeks!F145/Indeks!$F$40*Indeks!$F$2)/Indeks!H145*100</f>
        <v>8.8303803611636159E-2</v>
      </c>
      <c r="G145" s="116">
        <f>(Indeks!G145/Indeks!$G$40*Indeks!$G$2)/Indeks!H145*100</f>
        <v>7.4796889163277046E-3</v>
      </c>
      <c r="H145" s="116">
        <f t="shared" si="17"/>
        <v>0.99999999999999989</v>
      </c>
    </row>
    <row r="146" spans="1:10" hidden="1" x14ac:dyDescent="0.2">
      <c r="A146" s="32">
        <f t="shared" si="18"/>
        <v>2016</v>
      </c>
      <c r="B146" s="67" t="s">
        <v>17</v>
      </c>
      <c r="C146" s="116">
        <f>(Indeks!C146/Indeks!$C$40*Indeks!$C$2)/Indeks!H146*100</f>
        <v>0.67173768029410652</v>
      </c>
      <c r="D146" s="116">
        <f>(Indeks!D146/Indeks!$D$40*Indeks!$D$2)/Indeks!H146*100</f>
        <v>0.14930830149971933</v>
      </c>
      <c r="E146" s="116">
        <f>(Indeks!E146/Indeks!$E$40*Indeks!$E$2)/Indeks!H146*100</f>
        <v>8.4350379393538968E-2</v>
      </c>
      <c r="F146" s="116">
        <f>(Indeks!F146/Indeks!$F$40*Indeks!$F$2)/Indeks!H146*100</f>
        <v>8.8081478641528113E-2</v>
      </c>
      <c r="G146" s="116">
        <f>(Indeks!G146/Indeks!$G$40*Indeks!$G$2)/Indeks!H146*100</f>
        <v>6.5221601711069107E-3</v>
      </c>
      <c r="H146" s="116">
        <f t="shared" si="17"/>
        <v>0.99999999999999989</v>
      </c>
    </row>
    <row r="147" spans="1:10" ht="13.5" hidden="1" thickBot="1" x14ac:dyDescent="0.25">
      <c r="A147" s="38">
        <f t="shared" si="18"/>
        <v>2016</v>
      </c>
      <c r="B147" s="39" t="s">
        <v>18</v>
      </c>
      <c r="C147" s="93">
        <f>(Indeks!C147/Indeks!$C$40*Indeks!$C$2)/Indeks!H147*100</f>
        <v>0.66607356787368832</v>
      </c>
      <c r="D147" s="93">
        <f>(Indeks!D147/Indeks!$D$40*Indeks!$D$2)/Indeks!H147*100</f>
        <v>0.15388922830979196</v>
      </c>
      <c r="E147" s="93">
        <f>(Indeks!E147/Indeks!$E$40*Indeks!$E$2)/Indeks!H147*100</f>
        <v>8.3806078825521366E-2</v>
      </c>
      <c r="F147" s="93">
        <f>(Indeks!F147/Indeks!$F$40*Indeks!$F$2)/Indeks!H147*100</f>
        <v>8.7338772951765647E-2</v>
      </c>
      <c r="G147" s="93">
        <f>(Indeks!G147/Indeks!$G$40*Indeks!$G$2)/Indeks!H147*100</f>
        <v>8.8923520392325799E-3</v>
      </c>
      <c r="H147" s="93">
        <f t="shared" si="17"/>
        <v>0.99999999999999989</v>
      </c>
    </row>
    <row r="148" spans="1:10" hidden="1" x14ac:dyDescent="0.2">
      <c r="A148" s="8">
        <v>2017</v>
      </c>
      <c r="B148" s="67" t="s">
        <v>8</v>
      </c>
      <c r="C148" s="116">
        <f>(Indeks!C148/Indeks!$C$40*Indeks!$C$2)/Indeks!H148*100</f>
        <v>0.66922332742214574</v>
      </c>
      <c r="D148" s="116">
        <f>(Indeks!D148/Indeks!$D$40*Indeks!$D$2)/Indeks!H148*100</f>
        <v>0.15054911910293195</v>
      </c>
      <c r="E148" s="116">
        <f>(Indeks!E148/Indeks!$E$40*Indeks!$E$2)/Indeks!H148*100</f>
        <v>8.3796224804446928E-2</v>
      </c>
      <c r="F148" s="116">
        <f>(Indeks!F148/Indeks!$F$40*Indeks!$F$2)/Indeks!H148*100</f>
        <v>8.7415570853849739E-2</v>
      </c>
      <c r="G148" s="116">
        <f>(Indeks!G148/Indeks!$G$40*Indeks!$G$2)/Indeks!H148*100</f>
        <v>9.0157578166256899E-3</v>
      </c>
      <c r="H148" s="116">
        <f t="shared" ref="H148:H159" si="19">SUM(C148:G148)</f>
        <v>1.0000000000000002</v>
      </c>
    </row>
    <row r="149" spans="1:10" hidden="1" x14ac:dyDescent="0.2">
      <c r="A149" s="12">
        <f>A148</f>
        <v>2017</v>
      </c>
      <c r="B149" s="33" t="s">
        <v>9</v>
      </c>
      <c r="C149" s="116">
        <f>(Indeks!C149/Indeks!$C$40*Indeks!$C$2)/Indeks!H149*100</f>
        <v>0.66432640419352662</v>
      </c>
      <c r="D149" s="116">
        <f>(Indeks!D149/Indeks!$D$40*Indeks!$D$2)/Indeks!H149*100</f>
        <v>0.15743314544430401</v>
      </c>
      <c r="E149" s="116">
        <f>(Indeks!E149/Indeks!$E$40*Indeks!$E$2)/Indeks!H149*100</f>
        <v>8.3176682561511728E-2</v>
      </c>
      <c r="F149" s="116">
        <f>(Indeks!F149/Indeks!$F$40*Indeks!$F$2)/Indeks!H149*100</f>
        <v>8.6688327715668118E-2</v>
      </c>
      <c r="G149" s="116">
        <f>(Indeks!G149/Indeks!$G$40*Indeks!$G$2)/Indeks!H149*100</f>
        <v>8.3754400849895376E-3</v>
      </c>
      <c r="H149" s="116">
        <f t="shared" si="19"/>
        <v>1</v>
      </c>
    </row>
    <row r="150" spans="1:10" hidden="1" x14ac:dyDescent="0.2">
      <c r="A150" s="16">
        <f t="shared" ref="A150:A159" si="20">A149</f>
        <v>2017</v>
      </c>
      <c r="B150" s="17" t="s">
        <v>10</v>
      </c>
      <c r="C150" s="117">
        <f>(Indeks!C150/Indeks!$C$40*Indeks!$C$2)/Indeks!H150*100</f>
        <v>0.66105115528637859</v>
      </c>
      <c r="D150" s="117">
        <f>(Indeks!D150/Indeks!$D$40*Indeks!$D$2)/Indeks!H150*100</f>
        <v>0.16008969414902047</v>
      </c>
      <c r="E150" s="117">
        <f>(Indeks!E150/Indeks!$E$40*Indeks!$E$2)/Indeks!H150*100</f>
        <v>8.2766606525183611E-2</v>
      </c>
      <c r="F150" s="117">
        <f>(Indeks!F150/Indeks!$F$40*Indeks!$F$2)/Indeks!H150*100</f>
        <v>8.6502565914902671E-2</v>
      </c>
      <c r="G150" s="117">
        <f>(Indeks!G150/Indeks!$G$40*Indeks!$G$2)/Indeks!H150*100</f>
        <v>9.5899781245145071E-3</v>
      </c>
      <c r="H150" s="117">
        <f t="shared" si="19"/>
        <v>0.99999999999999989</v>
      </c>
    </row>
    <row r="151" spans="1:10" hidden="1" x14ac:dyDescent="0.2">
      <c r="A151" s="32">
        <f t="shared" si="20"/>
        <v>2017</v>
      </c>
      <c r="B151" s="33" t="s">
        <v>11</v>
      </c>
      <c r="C151" s="116">
        <f>(Indeks!C151/Indeks!$C$40*Indeks!$C$2)/Indeks!H151*100</f>
        <v>0.66398678510366238</v>
      </c>
      <c r="D151" s="116">
        <f>(Indeks!D151/Indeks!$D$40*Indeks!$D$2)/Indeks!H151*100</f>
        <v>0.15711258478972015</v>
      </c>
      <c r="E151" s="116">
        <f>(Indeks!E151/Indeks!$E$40*Indeks!$E$2)/Indeks!H151*100</f>
        <v>8.342012970489518E-2</v>
      </c>
      <c r="F151" s="116">
        <f>(Indeks!F151/Indeks!$F$40*Indeks!$F$2)/Indeks!H151*100</f>
        <v>8.6576228317706005E-2</v>
      </c>
      <c r="G151" s="116">
        <f>(Indeks!G151/Indeks!$G$40*Indeks!$G$2)/Indeks!H151*100</f>
        <v>8.9042720840163576E-3</v>
      </c>
      <c r="H151" s="116">
        <f t="shared" si="19"/>
        <v>1.0000000000000002</v>
      </c>
    </row>
    <row r="152" spans="1:10" hidden="1" x14ac:dyDescent="0.2">
      <c r="A152" s="32">
        <f t="shared" si="20"/>
        <v>2017</v>
      </c>
      <c r="B152" s="67" t="s">
        <v>12</v>
      </c>
      <c r="C152" s="116">
        <f>(Indeks!C152/Indeks!$C$40*Indeks!$C$2)/Indeks!H152*100</f>
        <v>0.66621688025345482</v>
      </c>
      <c r="D152" s="116">
        <f>(Indeks!D152/Indeks!$D$40*Indeks!$D$2)/Indeks!H152*100</f>
        <v>0.15513555866974502</v>
      </c>
      <c r="E152" s="116">
        <f>(Indeks!E152/Indeks!$E$40*Indeks!$E$2)/Indeks!H152*100</f>
        <v>8.3783097835062867E-2</v>
      </c>
      <c r="F152" s="116">
        <f>(Indeks!F152/Indeks!$F$40*Indeks!$F$2)/Indeks!H152*100</f>
        <v>8.7190233109481236E-2</v>
      </c>
      <c r="G152" s="116">
        <f>(Indeks!G152/Indeks!$G$40*Indeks!$G$2)/Indeks!H152*100</f>
        <v>7.6742301322561364E-3</v>
      </c>
      <c r="H152" s="116">
        <f t="shared" si="19"/>
        <v>1.0000000000000002</v>
      </c>
    </row>
    <row r="153" spans="1:10" hidden="1" x14ac:dyDescent="0.2">
      <c r="A153" s="16">
        <f t="shared" si="20"/>
        <v>2017</v>
      </c>
      <c r="B153" s="17" t="s">
        <v>13</v>
      </c>
      <c r="C153" s="117">
        <f>(Indeks!C153/Indeks!$C$40*Indeks!$C$2)/Indeks!H153*100</f>
        <v>0.66373577456396504</v>
      </c>
      <c r="D153" s="117">
        <f>(Indeks!D153/Indeks!$D$40*Indeks!$D$2)/Indeks!H153*100</f>
        <v>0.15736511358471536</v>
      </c>
      <c r="E153" s="117">
        <f>(Indeks!E153/Indeks!$E$40*Indeks!$E$2)/Indeks!H153*100</f>
        <v>8.3636037837979668E-2</v>
      </c>
      <c r="F153" s="117">
        <f>(Indeks!F153/Indeks!$F$40*Indeks!$F$2)/Indeks!H153*100</f>
        <v>8.6704510596457396E-2</v>
      </c>
      <c r="G153" s="117">
        <f>(Indeks!G153/Indeks!$G$40*Indeks!$G$2)/Indeks!H153*100</f>
        <v>8.5585634168824972E-3</v>
      </c>
      <c r="H153" s="117">
        <f t="shared" si="19"/>
        <v>1</v>
      </c>
    </row>
    <row r="154" spans="1:10" hidden="1" x14ac:dyDescent="0.2">
      <c r="A154" s="12">
        <f t="shared" si="20"/>
        <v>2017</v>
      </c>
      <c r="B154" s="13" t="s">
        <v>31</v>
      </c>
      <c r="C154" s="116">
        <f>(Indeks!C154/Indeks!$C$40*Indeks!$C$2)/Indeks!H154*100</f>
        <v>0.66815052486174498</v>
      </c>
      <c r="D154" s="116">
        <f>(Indeks!D154/Indeks!$D$40*Indeks!$D$2)/Indeks!H154*100</f>
        <v>0.15225444214772238</v>
      </c>
      <c r="E154" s="116">
        <f>(Indeks!E154/Indeks!$E$40*Indeks!$E$2)/Indeks!H154*100</f>
        <v>8.3917271546185196E-2</v>
      </c>
      <c r="F154" s="116">
        <f>(Indeks!F154/Indeks!$F$40*Indeks!$F$2)/Indeks!H154*100</f>
        <v>8.7081941947780198E-2</v>
      </c>
      <c r="G154" s="116">
        <f>(Indeks!G154/Indeks!$G$40*Indeks!$G$2)/Indeks!H154*100</f>
        <v>8.5958194965673283E-3</v>
      </c>
      <c r="H154" s="116">
        <f t="shared" si="19"/>
        <v>1</v>
      </c>
    </row>
    <row r="155" spans="1:10" hidden="1" x14ac:dyDescent="0.2">
      <c r="A155" s="32">
        <f t="shared" si="20"/>
        <v>2017</v>
      </c>
      <c r="B155" s="33" t="s">
        <v>14</v>
      </c>
      <c r="C155" s="116">
        <f>(Indeks!C155/Indeks!$C$40*Indeks!$C$2)/Indeks!H155*100</f>
        <v>0.67184243166953617</v>
      </c>
      <c r="D155" s="116">
        <f>(Indeks!D155/Indeks!$D$40*Indeks!$D$2)/Indeks!H155*100</f>
        <v>0.14852806237038982</v>
      </c>
      <c r="E155" s="116">
        <f>(Indeks!E155/Indeks!$E$40*Indeks!$E$2)/Indeks!H155*100</f>
        <v>8.4297663503481099E-2</v>
      </c>
      <c r="F155" s="116">
        <f>(Indeks!F155/Indeks!$F$40*Indeks!$F$2)/Indeks!H155*100</f>
        <v>8.772572417795238E-2</v>
      </c>
      <c r="G155" s="116">
        <f>(Indeks!G155/Indeks!$G$40*Indeks!$G$2)/Indeks!H155*100</f>
        <v>7.6061182786406429E-3</v>
      </c>
      <c r="H155" s="116">
        <f t="shared" si="19"/>
        <v>1.0000000000000002</v>
      </c>
    </row>
    <row r="156" spans="1:10" hidden="1" x14ac:dyDescent="0.2">
      <c r="A156" s="63">
        <f t="shared" si="20"/>
        <v>2017</v>
      </c>
      <c r="B156" s="64" t="s">
        <v>15</v>
      </c>
      <c r="C156" s="117">
        <f>(Indeks!C156/Indeks!$C$40*Indeks!$C$2)/Indeks!H156*100</f>
        <v>0.67135424565021373</v>
      </c>
      <c r="D156" s="117">
        <f>(Indeks!D156/Indeks!$D$40*Indeks!$D$2)/Indeks!H156*100</f>
        <v>0.1484201362851825</v>
      </c>
      <c r="E156" s="117">
        <f>(Indeks!E156/Indeks!$E$40*Indeks!$E$2)/Indeks!H156*100</f>
        <v>8.490231011717278E-2</v>
      </c>
      <c r="F156" s="117">
        <f>(Indeks!F156/Indeks!$F$40*Indeks!$F$2)/Indeks!H156*100</f>
        <v>8.8068197987518568E-2</v>
      </c>
      <c r="G156" s="117">
        <f>(Indeks!G156/Indeks!$G$40*Indeks!$G$2)/Indeks!H156*100</f>
        <v>7.2551099599125158E-3</v>
      </c>
      <c r="H156" s="117">
        <f t="shared" si="19"/>
        <v>1</v>
      </c>
      <c r="J156" s="13"/>
    </row>
    <row r="157" spans="1:10" hidden="1" x14ac:dyDescent="0.2">
      <c r="A157" s="32">
        <f t="shared" si="20"/>
        <v>2017</v>
      </c>
      <c r="B157" s="33" t="s">
        <v>16</v>
      </c>
      <c r="C157" s="116">
        <f>(Indeks!C157/Indeks!$C$40*Indeks!$C$2)/Indeks!H157*100</f>
        <v>0.67327177437410579</v>
      </c>
      <c r="D157" s="116">
        <f>(Indeks!D157/Indeks!$D$40*Indeks!$D$2)/Indeks!H157*100</f>
        <v>0.14810022073670043</v>
      </c>
      <c r="E157" s="116">
        <f>(Indeks!E157/Indeks!$E$40*Indeks!$E$2)/Indeks!H157*100</f>
        <v>8.4380650008477401E-2</v>
      </c>
      <c r="F157" s="116">
        <f>(Indeks!F157/Indeks!$F$40*Indeks!$F$2)/Indeks!H157*100</f>
        <v>8.7704295171351032E-2</v>
      </c>
      <c r="G157" s="116">
        <f>(Indeks!G157/Indeks!$G$40*Indeks!$G$2)/Indeks!H157*100</f>
        <v>6.5430597093652631E-3</v>
      </c>
      <c r="H157" s="116">
        <f t="shared" si="19"/>
        <v>1</v>
      </c>
    </row>
    <row r="158" spans="1:10" hidden="1" x14ac:dyDescent="0.2">
      <c r="A158" s="32">
        <f t="shared" si="20"/>
        <v>2017</v>
      </c>
      <c r="B158" s="67" t="s">
        <v>17</v>
      </c>
      <c r="C158" s="116">
        <f>(Indeks!C158/Indeks!$C$40*Indeks!$C$2)/Indeks!H158*100</f>
        <v>0.67055360025857358</v>
      </c>
      <c r="D158" s="116">
        <f>(Indeks!D158/Indeks!$D$40*Indeks!$D$2)/Indeks!H158*100</f>
        <v>0.15218987457792701</v>
      </c>
      <c r="E158" s="116">
        <f>(Indeks!E158/Indeks!$E$40*Indeks!$E$2)/Indeks!H158*100</f>
        <v>8.4122618456282716E-2</v>
      </c>
      <c r="F158" s="116">
        <f>(Indeks!F158/Indeks!$F$40*Indeks!$F$2)/Indeks!H158*100</f>
        <v>8.7188898449362909E-2</v>
      </c>
      <c r="G158" s="116">
        <f>(Indeks!G158/Indeks!$G$40*Indeks!$G$2)/Indeks!H158*100</f>
        <v>5.9450082578536316E-3</v>
      </c>
      <c r="H158" s="116">
        <f t="shared" si="19"/>
        <v>0.99999999999999978</v>
      </c>
    </row>
    <row r="159" spans="1:10" ht="13.5" hidden="1" thickBot="1" x14ac:dyDescent="0.25">
      <c r="A159" s="38">
        <f t="shared" si="20"/>
        <v>2017</v>
      </c>
      <c r="B159" s="39" t="s">
        <v>18</v>
      </c>
      <c r="C159" s="93">
        <f>(Indeks!C159/Indeks!$C$40*Indeks!$C$2)/Indeks!H159*100</f>
        <v>0.66725458854421249</v>
      </c>
      <c r="D159" s="93">
        <f>(Indeks!D159/Indeks!$D$40*Indeks!$D$2)/Indeks!H159*100</f>
        <v>0.15470628355788107</v>
      </c>
      <c r="E159" s="93">
        <f>(Indeks!E159/Indeks!$E$40*Indeks!$E$2)/Indeks!H159*100</f>
        <v>8.3790977857835361E-2</v>
      </c>
      <c r="F159" s="93">
        <f>(Indeks!F159/Indeks!$F$40*Indeks!$F$2)/Indeks!H159*100</f>
        <v>8.708097950080565E-2</v>
      </c>
      <c r="G159" s="93">
        <f>(Indeks!G159/Indeks!$G$40*Indeks!$G$2)/Indeks!H159*100</f>
        <v>7.1671705392653828E-3</v>
      </c>
      <c r="H159" s="93">
        <f t="shared" si="19"/>
        <v>1</v>
      </c>
    </row>
    <row r="160" spans="1:10" hidden="1" x14ac:dyDescent="0.2">
      <c r="A160" s="8">
        <v>2018</v>
      </c>
      <c r="B160" s="67" t="s">
        <v>8</v>
      </c>
      <c r="C160" s="116">
        <f>(Indeks!C160/Indeks!$C$40*Indeks!$C$2)/Indeks!H160*100</f>
        <v>0.66797355011738546</v>
      </c>
      <c r="D160" s="116">
        <f>(Indeks!D160/Indeks!$D$40*Indeks!$D$2)/Indeks!H160*100</f>
        <v>0.15436690689150939</v>
      </c>
      <c r="E160" s="116">
        <f>(Indeks!E160/Indeks!$E$40*Indeks!$E$2)/Indeks!H160*100</f>
        <v>8.3193798481879508E-2</v>
      </c>
      <c r="F160" s="116">
        <f>(Indeks!F160/Indeks!$F$40*Indeks!$F$2)/Indeks!H160*100</f>
        <v>8.6875493070002016E-2</v>
      </c>
      <c r="G160" s="116">
        <f>(Indeks!G160/Indeks!$G$40*Indeks!$G$2)/Indeks!H160*100</f>
        <v>7.5902514392236185E-3</v>
      </c>
      <c r="H160" s="116">
        <f t="shared" ref="H160:H171" si="21">SUM(C160:G160)</f>
        <v>0.99999999999999989</v>
      </c>
    </row>
    <row r="161" spans="1:8" hidden="1" x14ac:dyDescent="0.2">
      <c r="A161" s="12">
        <f>A160</f>
        <v>2018</v>
      </c>
      <c r="B161" s="33" t="s">
        <v>9</v>
      </c>
      <c r="C161" s="116">
        <f>(Indeks!C161/Indeks!$C$40*Indeks!$C$2)/Indeks!H161*100</f>
        <v>0.66725464529161005</v>
      </c>
      <c r="D161" s="116">
        <f>(Indeks!D161/Indeks!$D$40*Indeks!$D$2)/Indeks!H161*100</f>
        <v>0.1565207413655024</v>
      </c>
      <c r="E161" s="116">
        <f>(Indeks!E161/Indeks!$E$40*Indeks!$E$2)/Indeks!H161*100</f>
        <v>8.2858874770401103E-2</v>
      </c>
      <c r="F161" s="116">
        <f>(Indeks!F161/Indeks!$F$40*Indeks!$F$2)/Indeks!H161*100</f>
        <v>8.6462648580226426E-2</v>
      </c>
      <c r="G161" s="116">
        <f>(Indeks!G161/Indeks!$G$40*Indeks!$G$2)/Indeks!H161*100</f>
        <v>6.9030899922600027E-3</v>
      </c>
      <c r="H161" s="116">
        <f t="shared" si="21"/>
        <v>1</v>
      </c>
    </row>
    <row r="162" spans="1:8" hidden="1" x14ac:dyDescent="0.2">
      <c r="A162" s="16">
        <f t="shared" ref="A162:A171" si="22">A161</f>
        <v>2018</v>
      </c>
      <c r="B162" s="17" t="s">
        <v>10</v>
      </c>
      <c r="C162" s="117">
        <f>(Indeks!C162/Indeks!$C$40*Indeks!$C$2)/Indeks!H162*100</f>
        <v>0.66456740936629521</v>
      </c>
      <c r="D162" s="117">
        <f>(Indeks!D162/Indeks!$D$40*Indeks!$D$2)/Indeks!H162*100</f>
        <v>0.15743080390556097</v>
      </c>
      <c r="E162" s="117">
        <f>(Indeks!E162/Indeks!$E$40*Indeks!$E$2)/Indeks!H162*100</f>
        <v>8.2280778710951255E-2</v>
      </c>
      <c r="F162" s="117">
        <f>(Indeks!F162/Indeks!$F$40*Indeks!$F$2)/Indeks!H162*100</f>
        <v>8.6591525683918494E-2</v>
      </c>
      <c r="G162" s="117">
        <f>(Indeks!G162/Indeks!$G$40*Indeks!$G$2)/Indeks!H162*100</f>
        <v>9.1294823332739618E-3</v>
      </c>
      <c r="H162" s="117">
        <f t="shared" si="21"/>
        <v>0.99999999999999989</v>
      </c>
    </row>
    <row r="163" spans="1:8" hidden="1" x14ac:dyDescent="0.2">
      <c r="A163" s="32">
        <f t="shared" si="22"/>
        <v>2018</v>
      </c>
      <c r="B163" s="33" t="s">
        <v>11</v>
      </c>
      <c r="C163" s="116">
        <f>(Indeks!C163/Indeks!$C$40*Indeks!$C$2)/Indeks!H163*100</f>
        <v>0.66783691396228206</v>
      </c>
      <c r="D163" s="116">
        <f>(Indeks!D163/Indeks!$D$40*Indeks!$D$2)/Indeks!H163*100</f>
        <v>0.15375686238450714</v>
      </c>
      <c r="E163" s="116">
        <f>(Indeks!E163/Indeks!$E$40*Indeks!$E$2)/Indeks!H163*100</f>
        <v>8.2946583933640849E-2</v>
      </c>
      <c r="F163" s="116">
        <f>(Indeks!F163/Indeks!$F$40*Indeks!$F$2)/Indeks!H163*100</f>
        <v>8.6770987956989593E-2</v>
      </c>
      <c r="G163" s="116">
        <f>(Indeks!G163/Indeks!$G$40*Indeks!$G$2)/Indeks!H163*100</f>
        <v>8.6886517625802701E-3</v>
      </c>
      <c r="H163" s="116">
        <f t="shared" si="21"/>
        <v>0.99999999999999989</v>
      </c>
    </row>
    <row r="164" spans="1:8" hidden="1" x14ac:dyDescent="0.2">
      <c r="A164" s="32">
        <f t="shared" si="22"/>
        <v>2018</v>
      </c>
      <c r="B164" s="67" t="s">
        <v>12</v>
      </c>
      <c r="C164" s="116">
        <f>(Indeks!C164/Indeks!$C$40*Indeks!$C$2)/Indeks!H164*100</f>
        <v>0.66783436268060214</v>
      </c>
      <c r="D164" s="116">
        <f>(Indeks!D164/Indeks!$D$40*Indeks!$D$2)/Indeks!H164*100</f>
        <v>0.15545268324973469</v>
      </c>
      <c r="E164" s="116">
        <f>(Indeks!E164/Indeks!$E$40*Indeks!$E$2)/Indeks!H164*100</f>
        <v>8.2946267059722106E-2</v>
      </c>
      <c r="F164" s="116">
        <f>(Indeks!F164/Indeks!$F$40*Indeks!$F$2)/Indeks!H164*100</f>
        <v>8.6770656473019028E-2</v>
      </c>
      <c r="G164" s="116">
        <f>(Indeks!G164/Indeks!$G$40*Indeks!$G$2)/Indeks!H164*100</f>
        <v>6.9960305369220713E-3</v>
      </c>
      <c r="H164" s="116">
        <f t="shared" si="21"/>
        <v>1</v>
      </c>
    </row>
    <row r="165" spans="1:8" hidden="1" x14ac:dyDescent="0.2">
      <c r="A165" s="16">
        <f t="shared" si="22"/>
        <v>2018</v>
      </c>
      <c r="B165" s="17" t="s">
        <v>13</v>
      </c>
      <c r="C165" s="117">
        <f>(Indeks!C165/Indeks!$C$40*Indeks!$C$2)/Indeks!H165*100</f>
        <v>0.66339378931188731</v>
      </c>
      <c r="D165" s="117">
        <f>(Indeks!D165/Indeks!$D$40*Indeks!$D$2)/Indeks!H165*100</f>
        <v>0.15901485005938809</v>
      </c>
      <c r="E165" s="117">
        <f>(Indeks!E165/Indeks!$E$40*Indeks!$E$2)/Indeks!H165*100</f>
        <v>8.2799826822900019E-2</v>
      </c>
      <c r="F165" s="117">
        <f>(Indeks!F165/Indeks!$F$40*Indeks!$F$2)/Indeks!H165*100</f>
        <v>8.6272776627325215E-2</v>
      </c>
      <c r="G165" s="117">
        <f>(Indeks!G165/Indeks!$G$40*Indeks!$G$2)/Indeks!H165*100</f>
        <v>8.518757178499552E-3</v>
      </c>
      <c r="H165" s="117">
        <f t="shared" si="21"/>
        <v>1.0000000000000002</v>
      </c>
    </row>
    <row r="166" spans="1:8" hidden="1" x14ac:dyDescent="0.2">
      <c r="A166" s="12">
        <f t="shared" si="22"/>
        <v>2018</v>
      </c>
      <c r="B166" s="13" t="s">
        <v>31</v>
      </c>
      <c r="C166" s="116">
        <f>(Indeks!C166/Indeks!$C$40*Indeks!$C$2)/Indeks!H166*100</f>
        <v>0.65857436738987585</v>
      </c>
      <c r="D166" s="116">
        <f>(Indeks!D166/Indeks!$D$40*Indeks!$D$2)/Indeks!H166*100</f>
        <v>0.16744797920579096</v>
      </c>
      <c r="E166" s="116">
        <f>(Indeks!E166/Indeks!$E$40*Indeks!$E$2)/Indeks!H166*100</f>
        <v>8.1990388175392906E-2</v>
      </c>
      <c r="F166" s="116">
        <f>(Indeks!F166/Indeks!$F$40*Indeks!$F$2)/Indeks!H166*100</f>
        <v>8.5340683482803922E-2</v>
      </c>
      <c r="G166" s="116">
        <f>(Indeks!G166/Indeks!$G$40*Indeks!$G$2)/Indeks!H166*100</f>
        <v>6.6465817461363423E-3</v>
      </c>
      <c r="H166" s="116">
        <f t="shared" si="21"/>
        <v>1</v>
      </c>
    </row>
    <row r="167" spans="1:8" hidden="1" x14ac:dyDescent="0.2">
      <c r="A167" s="32">
        <f t="shared" si="22"/>
        <v>2018</v>
      </c>
      <c r="B167" s="33" t="s">
        <v>14</v>
      </c>
      <c r="C167" s="116">
        <f>(Indeks!C167/Indeks!$C$40*Indeks!$C$2)/Indeks!H167*100</f>
        <v>0.65995447092725534</v>
      </c>
      <c r="D167" s="116">
        <f>(Indeks!D167/Indeks!$D$40*Indeks!$D$2)/Indeks!H167*100</f>
        <v>0.16734373126903976</v>
      </c>
      <c r="E167" s="116">
        <f>(Indeks!E167/Indeks!$E$40*Indeks!$E$2)/Indeks!H167*100</f>
        <v>8.2081970092052897E-2</v>
      </c>
      <c r="F167" s="116">
        <f>(Indeks!F167/Indeks!$F$40*Indeks!$F$2)/Indeks!H167*100</f>
        <v>8.4736376970218477E-2</v>
      </c>
      <c r="G167" s="116">
        <f>(Indeks!G167/Indeks!$G$40*Indeks!$G$2)/Indeks!H167*100</f>
        <v>5.8834507414335718E-3</v>
      </c>
      <c r="H167" s="116">
        <f t="shared" si="21"/>
        <v>1</v>
      </c>
    </row>
    <row r="168" spans="1:8" hidden="1" x14ac:dyDescent="0.2">
      <c r="A168" s="16">
        <f t="shared" si="22"/>
        <v>2018</v>
      </c>
      <c r="B168" s="17" t="s">
        <v>15</v>
      </c>
      <c r="C168" s="117">
        <f>(Indeks!C168/Indeks!$C$40*Indeks!$C$2)/Indeks!H168*100</f>
        <v>0.65839172440244642</v>
      </c>
      <c r="D168" s="117">
        <f>(Indeks!D168/Indeks!$D$40*Indeks!$D$2)/Indeks!H168*100</f>
        <v>0.16709882545231036</v>
      </c>
      <c r="E168" s="117">
        <f>(Indeks!E168/Indeks!$E$40*Indeks!$E$2)/Indeks!H168*100</f>
        <v>8.2527975442006005E-2</v>
      </c>
      <c r="F168" s="117">
        <f>(Indeks!F168/Indeks!$F$40*Indeks!$F$2)/Indeks!H168*100</f>
        <v>8.5004499337049733E-2</v>
      </c>
      <c r="G168" s="117">
        <f>(Indeks!G168/Indeks!$G$40*Indeks!$G$2)/Indeks!H168*100</f>
        <v>6.976975366187313E-3</v>
      </c>
      <c r="H168" s="117">
        <f t="shared" si="21"/>
        <v>0.99999999999999989</v>
      </c>
    </row>
    <row r="169" spans="1:8" hidden="1" x14ac:dyDescent="0.2">
      <c r="A169" s="32">
        <f t="shared" si="22"/>
        <v>2018</v>
      </c>
      <c r="B169" s="33" t="s">
        <v>16</v>
      </c>
      <c r="C169" s="116">
        <f>(Indeks!C169/Indeks!$C$40*Indeks!$C$2)/Indeks!H169*100</f>
        <v>0.66051744958198488</v>
      </c>
      <c r="D169" s="116">
        <f>(Indeks!D169/Indeks!$D$40*Indeks!$D$2)/Indeks!H169*100</f>
        <v>0.16569892141119533</v>
      </c>
      <c r="E169" s="116">
        <f>(Indeks!E169/Indeks!$E$40*Indeks!$E$2)/Indeks!H169*100</f>
        <v>8.1741199835588862E-2</v>
      </c>
      <c r="F169" s="116">
        <f>(Indeks!F169/Indeks!$F$40*Indeks!$F$2)/Indeks!H169*100</f>
        <v>8.4444350787220623E-2</v>
      </c>
      <c r="G169" s="116">
        <f>(Indeks!G169/Indeks!$G$40*Indeks!$G$2)/Indeks!H169*100</f>
        <v>7.5980783840103499E-3</v>
      </c>
      <c r="H169" s="116">
        <f t="shared" si="21"/>
        <v>1</v>
      </c>
    </row>
    <row r="170" spans="1:8" hidden="1" x14ac:dyDescent="0.2">
      <c r="A170" s="32">
        <f t="shared" si="22"/>
        <v>2018</v>
      </c>
      <c r="B170" s="67" t="s">
        <v>17</v>
      </c>
      <c r="C170" s="116">
        <f>(Indeks!C170/Indeks!$C$40*Indeks!$C$2)/Indeks!H170*100</f>
        <v>0.66002294744887069</v>
      </c>
      <c r="D170" s="116">
        <f>(Indeks!D170/Indeks!$D$40*Indeks!$D$2)/Indeks!H170*100</f>
        <v>0.16722911430839066</v>
      </c>
      <c r="E170" s="116">
        <f>(Indeks!E170/Indeks!$E$40*Indeks!$E$2)/Indeks!H170*100</f>
        <v>8.1441405707150485E-2</v>
      </c>
      <c r="F170" s="116">
        <f>(Indeks!F170/Indeks!$F$40*Indeks!$F$2)/Indeks!H170*100</f>
        <v>8.4924523536170957E-2</v>
      </c>
      <c r="G170" s="116">
        <f>(Indeks!G170/Indeks!$G$40*Indeks!$G$2)/Indeks!H170*100</f>
        <v>6.3820089994172293E-3</v>
      </c>
      <c r="H170" s="116">
        <f t="shared" si="21"/>
        <v>1.0000000000000002</v>
      </c>
    </row>
    <row r="171" spans="1:8" ht="13.5" hidden="1" thickBot="1" x14ac:dyDescent="0.25">
      <c r="A171" s="38">
        <f t="shared" si="22"/>
        <v>2018</v>
      </c>
      <c r="B171" s="39" t="s">
        <v>18</v>
      </c>
      <c r="C171" s="93">
        <f>(Indeks!C171/Indeks!$C$40*Indeks!$C$2)/Indeks!H171*100</f>
        <v>0.65489236393221517</v>
      </c>
      <c r="D171" s="93">
        <f>(Indeks!D171/Indeks!$D$40*Indeks!$D$2)/Indeks!H171*100</f>
        <v>0.17264394555673812</v>
      </c>
      <c r="E171" s="93">
        <f>(Indeks!E171/Indeks!$E$40*Indeks!$E$2)/Indeks!H171*100</f>
        <v>8.1045077045068914E-2</v>
      </c>
      <c r="F171" s="93">
        <f>(Indeks!F171/Indeks!$F$40*Indeks!$F$2)/Indeks!H171*100</f>
        <v>8.4649496794953205E-2</v>
      </c>
      <c r="G171" s="93">
        <f>(Indeks!G171/Indeks!$G$40*Indeks!$G$2)/Indeks!H171*100</f>
        <v>6.7691166710247179E-3</v>
      </c>
      <c r="H171" s="93">
        <f t="shared" si="21"/>
        <v>1</v>
      </c>
    </row>
    <row r="172" spans="1:8" hidden="1" x14ac:dyDescent="0.2">
      <c r="A172" s="8">
        <v>2019</v>
      </c>
      <c r="B172" s="67" t="s">
        <v>8</v>
      </c>
      <c r="C172" s="116">
        <f>(Indeks!C172/Indeks!$C$40*Indeks!$C$2)/Indeks!H172*100</f>
        <v>0.65714932200512788</v>
      </c>
      <c r="D172" s="116">
        <f>(Indeks!D172/Indeks!$D$40*Indeks!$D$2)/Indeks!H172*100</f>
        <v>0.17068467898364612</v>
      </c>
      <c r="E172" s="116">
        <f>(Indeks!E172/Indeks!$E$40*Indeks!$E$2)/Indeks!H172*100</f>
        <v>8.0728561106144958E-2</v>
      </c>
      <c r="F172" s="116">
        <f>(Indeks!F172/Indeks!$F$40*Indeks!$F$2)/Indeks!H172*100</f>
        <v>8.4565932083365269E-2</v>
      </c>
      <c r="G172" s="116">
        <f>(Indeks!G172/Indeks!$G$40*Indeks!$G$2)/Indeks!H172*100</f>
        <v>6.8715058217158316E-3</v>
      </c>
      <c r="H172" s="116">
        <f t="shared" ref="H172:H183" si="23">SUM(C172:G172)</f>
        <v>1</v>
      </c>
    </row>
    <row r="173" spans="1:8" hidden="1" x14ac:dyDescent="0.2">
      <c r="A173" s="12">
        <f>A172</f>
        <v>2019</v>
      </c>
      <c r="B173" s="33" t="s">
        <v>9</v>
      </c>
      <c r="C173" s="116">
        <f>(Indeks!C173/Indeks!$C$40*Indeks!$C$2)/Indeks!H173*100</f>
        <v>0.66444112911510644</v>
      </c>
      <c r="D173" s="116">
        <f>(Indeks!D173/Indeks!$D$40*Indeks!$D$2)/Indeks!H173*100</f>
        <v>0.16187723504158111</v>
      </c>
      <c r="E173" s="116">
        <f>(Indeks!E173/Indeks!$E$40*Indeks!$E$2)/Indeks!H173*100</f>
        <v>8.1385201037388388E-2</v>
      </c>
      <c r="F173" s="116">
        <f>(Indeks!F173/Indeks!$F$40*Indeks!$F$2)/Indeks!H173*100</f>
        <v>8.5348681937564189E-2</v>
      </c>
      <c r="G173" s="116">
        <f>(Indeks!G173/Indeks!$G$40*Indeks!$G$2)/Indeks!H173*100</f>
        <v>6.9477528683599054E-3</v>
      </c>
      <c r="H173" s="116">
        <f t="shared" si="23"/>
        <v>1</v>
      </c>
    </row>
    <row r="174" spans="1:8" hidden="1" x14ac:dyDescent="0.2">
      <c r="A174" s="16">
        <f t="shared" ref="A174:A183" si="24">A173</f>
        <v>2019</v>
      </c>
      <c r="B174" s="17" t="s">
        <v>10</v>
      </c>
      <c r="C174" s="117">
        <f>(Indeks!C174/Indeks!$C$40*Indeks!$C$2)/Indeks!H174*100</f>
        <v>0.66614031373671723</v>
      </c>
      <c r="D174" s="117">
        <f>(Indeks!D174/Indeks!$D$40*Indeks!$D$2)/Indeks!H174*100</f>
        <v>0.15926902335945314</v>
      </c>
      <c r="E174" s="117">
        <f>(Indeks!E174/Indeks!$E$40*Indeks!$E$2)/Indeks!H174*100</f>
        <v>8.1753158776274107E-2</v>
      </c>
      <c r="F174" s="117">
        <f>(Indeks!F174/Indeks!$F$40*Indeks!$F$2)/Indeks!H174*100</f>
        <v>8.5319164589637966E-2</v>
      </c>
      <c r="G174" s="117">
        <f>(Indeks!G174/Indeks!$G$40*Indeks!$G$2)/Indeks!H174*100</f>
        <v>7.5183395379177197E-3</v>
      </c>
      <c r="H174" s="117">
        <f t="shared" si="23"/>
        <v>1.0000000000000002</v>
      </c>
    </row>
    <row r="175" spans="1:8" hidden="1" x14ac:dyDescent="0.2">
      <c r="A175" s="32">
        <f t="shared" si="24"/>
        <v>2019</v>
      </c>
      <c r="B175" s="33" t="s">
        <v>11</v>
      </c>
      <c r="C175" s="116">
        <f>(Indeks!C175/Indeks!$C$40*Indeks!$C$2)/Indeks!H175*100</f>
        <v>0.66523853175897885</v>
      </c>
      <c r="D175" s="116">
        <f>(Indeks!D175/Indeks!$D$40*Indeks!$D$2)/Indeks!H175*100</f>
        <v>0.16195954412558811</v>
      </c>
      <c r="E175" s="116">
        <f>(Indeks!E175/Indeks!$E$40*Indeks!$E$2)/Indeks!H175*100</f>
        <v>8.1680634288221574E-2</v>
      </c>
      <c r="F175" s="116">
        <f>(Indeks!F175/Indeks!$F$40*Indeks!$F$2)/Indeks!H175*100</f>
        <v>8.5075225122905246E-2</v>
      </c>
      <c r="G175" s="116">
        <f>(Indeks!G175/Indeks!$G$40*Indeks!$G$2)/Indeks!H175*100</f>
        <v>6.0460647043063054E-3</v>
      </c>
      <c r="H175" s="116">
        <f t="shared" si="23"/>
        <v>1</v>
      </c>
    </row>
    <row r="176" spans="1:8" hidden="1" x14ac:dyDescent="0.2">
      <c r="A176" s="32">
        <f t="shared" si="24"/>
        <v>2019</v>
      </c>
      <c r="B176" s="67" t="s">
        <v>12</v>
      </c>
      <c r="C176" s="116">
        <f>(Indeks!C176/Indeks!$C$40*Indeks!$C$2)/Indeks!H176*100</f>
        <v>0.66244429175199027</v>
      </c>
      <c r="D176" s="116">
        <f>(Indeks!D176/Indeks!$D$40*Indeks!$D$2)/Indeks!H176*100</f>
        <v>0.16531871794064373</v>
      </c>
      <c r="E176" s="116">
        <f>(Indeks!E176/Indeks!$E$40*Indeks!$E$2)/Indeks!H176*100</f>
        <v>8.1416668507137593E-2</v>
      </c>
      <c r="F176" s="116">
        <f>(Indeks!F176/Indeks!$F$40*Indeks!$F$2)/Indeks!H176*100</f>
        <v>8.4799652732336764E-2</v>
      </c>
      <c r="G176" s="116">
        <f>(Indeks!G176/Indeks!$G$40*Indeks!$G$2)/Indeks!H176*100</f>
        <v>6.0206690678915832E-3</v>
      </c>
      <c r="H176" s="116">
        <f t="shared" si="23"/>
        <v>1</v>
      </c>
    </row>
    <row r="177" spans="1:8" hidden="1" x14ac:dyDescent="0.2">
      <c r="A177" s="16">
        <f t="shared" si="24"/>
        <v>2019</v>
      </c>
      <c r="B177" s="17" t="s">
        <v>13</v>
      </c>
      <c r="C177" s="117">
        <f>(Indeks!C177/Indeks!$C$40*Indeks!$C$2)/Indeks!H177*100</f>
        <v>0.66116964650439025</v>
      </c>
      <c r="D177" s="117">
        <f>(Indeks!D177/Indeks!$D$40*Indeks!$D$2)/Indeks!H177*100</f>
        <v>0.16559790647415845</v>
      </c>
      <c r="E177" s="117">
        <f>(Indeks!E177/Indeks!$E$40*Indeks!$E$2)/Indeks!H177*100</f>
        <v>8.1496919898768075E-2</v>
      </c>
      <c r="F177" s="117">
        <f>(Indeks!F177/Indeks!$F$40*Indeks!$F$2)/Indeks!H177*100</f>
        <v>8.5289418435228997E-2</v>
      </c>
      <c r="G177" s="117">
        <f>(Indeks!G177/Indeks!$G$40*Indeks!$G$2)/Indeks!H177*100</f>
        <v>6.4461086874541369E-3</v>
      </c>
      <c r="H177" s="117">
        <f t="shared" si="23"/>
        <v>0.99999999999999989</v>
      </c>
    </row>
    <row r="178" spans="1:8" hidden="1" x14ac:dyDescent="0.2">
      <c r="A178" s="12">
        <f t="shared" si="24"/>
        <v>2019</v>
      </c>
      <c r="B178" s="13" t="s">
        <v>31</v>
      </c>
      <c r="C178" s="116">
        <f>(Indeks!C178/Indeks!$C$40*Indeks!$C$2)/Indeks!H178*100</f>
        <v>0.66045793848430012</v>
      </c>
      <c r="D178" s="116">
        <f>(Indeks!D178/Indeks!$D$40*Indeks!$D$2)/Indeks!H178*100</f>
        <v>0.16696476734813043</v>
      </c>
      <c r="E178" s="116">
        <f>(Indeks!E178/Indeks!$E$40*Indeks!$E$2)/Indeks!H178*100</f>
        <v>8.1211230602903361E-2</v>
      </c>
      <c r="F178" s="116">
        <f>(Indeks!F178/Indeks!$F$40*Indeks!$F$2)/Indeks!H178*100</f>
        <v>8.5154278845345127E-2</v>
      </c>
      <c r="G178" s="116">
        <f>(Indeks!G178/Indeks!$G$40*Indeks!$G$2)/Indeks!H178*100</f>
        <v>6.2117847193209307E-3</v>
      </c>
      <c r="H178" s="116">
        <f t="shared" si="23"/>
        <v>1</v>
      </c>
    </row>
    <row r="179" spans="1:8" hidden="1" x14ac:dyDescent="0.2">
      <c r="A179" s="32">
        <f t="shared" si="24"/>
        <v>2019</v>
      </c>
      <c r="B179" s="33" t="s">
        <v>14</v>
      </c>
      <c r="C179" s="116">
        <f>(Indeks!C179/Indeks!$C$40*Indeks!$C$2)/Indeks!H179*100</f>
        <v>0.66661792288537369</v>
      </c>
      <c r="D179" s="116">
        <f>(Indeks!D179/Indeks!$D$40*Indeks!$D$2)/Indeks!H179*100</f>
        <v>0.1610054274830405</v>
      </c>
      <c r="E179" s="116">
        <f>(Indeks!E179/Indeks!$E$40*Indeks!$E$2)/Indeks!H179*100</f>
        <v>8.1809666521285698E-2</v>
      </c>
      <c r="F179" s="116">
        <f>(Indeks!F179/Indeks!$F$40*Indeks!$F$2)/Indeks!H179*100</f>
        <v>8.6277173983827685E-2</v>
      </c>
      <c r="G179" s="116">
        <f>(Indeks!G179/Indeks!$G$40*Indeks!$G$2)/Indeks!H179*100</f>
        <v>4.2898091264725463E-3</v>
      </c>
      <c r="H179" s="116">
        <f t="shared" si="23"/>
        <v>1.0000000000000002</v>
      </c>
    </row>
    <row r="180" spans="1:8" hidden="1" x14ac:dyDescent="0.2">
      <c r="A180" s="16">
        <f t="shared" si="24"/>
        <v>2019</v>
      </c>
      <c r="B180" s="17" t="s">
        <v>15</v>
      </c>
      <c r="C180" s="117">
        <f>(Indeks!C180/Indeks!$C$40*Indeks!$C$2)/Indeks!H180*100</f>
        <v>0.6661864296478105</v>
      </c>
      <c r="D180" s="117">
        <f>(Indeks!D180/Indeks!$D$40*Indeks!$D$2)/Indeks!H180*100</f>
        <v>0.16255379086232258</v>
      </c>
      <c r="E180" s="117">
        <f>(Indeks!E180/Indeks!$E$40*Indeks!$E$2)/Indeks!H180*100</f>
        <v>8.2233427695558872E-2</v>
      </c>
      <c r="F180" s="117">
        <f>(Indeks!F180/Indeks!$F$40*Indeks!$F$2)/Indeks!H180*100</f>
        <v>8.5728634572764445E-2</v>
      </c>
      <c r="G180" s="117">
        <f>(Indeks!G180/Indeks!$G$40*Indeks!$G$2)/Indeks!H180*100</f>
        <v>3.2977172215436024E-3</v>
      </c>
      <c r="H180" s="117">
        <f t="shared" si="23"/>
        <v>1</v>
      </c>
    </row>
    <row r="181" spans="1:8" hidden="1" x14ac:dyDescent="0.2">
      <c r="A181" s="32">
        <f t="shared" si="24"/>
        <v>2019</v>
      </c>
      <c r="B181" s="33" t="s">
        <v>16</v>
      </c>
      <c r="C181" s="116">
        <f>(Indeks!C181/Indeks!$C$40*Indeks!$C$2)/Indeks!H181*100</f>
        <v>0.67036548745657532</v>
      </c>
      <c r="D181" s="116">
        <f>(Indeks!D181/Indeks!$D$40*Indeks!$D$2)/Indeks!H181*100</f>
        <v>0.16035073916818357</v>
      </c>
      <c r="E181" s="116">
        <f>(Indeks!E181/Indeks!$E$40*Indeks!$E$2)/Indeks!H181*100</f>
        <v>8.1711664236523651E-2</v>
      </c>
      <c r="F181" s="116">
        <f>(Indeks!F181/Indeks!$F$40*Indeks!$F$2)/Indeks!H181*100</f>
        <v>8.5269454531981398E-2</v>
      </c>
      <c r="G181" s="116">
        <f>(Indeks!G181/Indeks!$G$40*Indeks!$G$2)/Indeks!H181*100</f>
        <v>2.3026546067360103E-3</v>
      </c>
      <c r="H181" s="116">
        <f t="shared" si="23"/>
        <v>1</v>
      </c>
    </row>
    <row r="182" spans="1:8" hidden="1" x14ac:dyDescent="0.2">
      <c r="A182" s="32">
        <f t="shared" si="24"/>
        <v>2019</v>
      </c>
      <c r="B182" s="67" t="s">
        <v>17</v>
      </c>
      <c r="C182" s="116">
        <f>(Indeks!C182/Indeks!$C$40*Indeks!$C$2)/Indeks!H182*100</f>
        <v>0.66681723525624936</v>
      </c>
      <c r="D182" s="116">
        <f>(Indeks!D182/Indeks!$D$40*Indeks!$D$2)/Indeks!H182*100</f>
        <v>0.16457028874796981</v>
      </c>
      <c r="E182" s="116">
        <f>(Indeks!E182/Indeks!$E$40*Indeks!$E$2)/Indeks!H182*100</f>
        <v>8.1121492921999244E-2</v>
      </c>
      <c r="F182" s="116">
        <f>(Indeks!F182/Indeks!$F$40*Indeks!$F$2)/Indeks!H182*100</f>
        <v>8.4655167246733484E-2</v>
      </c>
      <c r="G182" s="116">
        <f>(Indeks!G182/Indeks!$G$40*Indeks!$G$2)/Indeks!H182*100</f>
        <v>2.8358158270479928E-3</v>
      </c>
      <c r="H182" s="116">
        <f t="shared" si="23"/>
        <v>0.99999999999999989</v>
      </c>
    </row>
    <row r="183" spans="1:8" ht="13.5" hidden="1" thickBot="1" x14ac:dyDescent="0.25">
      <c r="A183" s="38">
        <f t="shared" si="24"/>
        <v>2019</v>
      </c>
      <c r="B183" s="39" t="s">
        <v>18</v>
      </c>
      <c r="C183" s="93">
        <f>(Indeks!C183/Indeks!$C$40*Indeks!$C$2)/Indeks!H183*100</f>
        <v>0.66663083976869586</v>
      </c>
      <c r="D183" s="93">
        <f>(Indeks!D183/Indeks!$D$40*Indeks!$D$2)/Indeks!H183*100</f>
        <v>0.16377915829023024</v>
      </c>
      <c r="E183" s="93">
        <f>(Indeks!E183/Indeks!$E$40*Indeks!$E$2)/Indeks!H183*100</f>
        <v>8.1414069956114332E-2</v>
      </c>
      <c r="F183" s="93">
        <f>(Indeks!F183/Indeks!$F$40*Indeks!$F$2)/Indeks!H183*100</f>
        <v>8.446859404419875E-2</v>
      </c>
      <c r="G183" s="93">
        <f>(Indeks!G183/Indeks!$G$40*Indeks!$G$2)/Indeks!H183*100</f>
        <v>3.7073379407609017E-3</v>
      </c>
      <c r="H183" s="93">
        <f t="shared" si="23"/>
        <v>1</v>
      </c>
    </row>
    <row r="184" spans="1:8" hidden="1" x14ac:dyDescent="0.2">
      <c r="A184" s="8">
        <v>2020</v>
      </c>
      <c r="B184" s="67" t="s">
        <v>8</v>
      </c>
      <c r="C184" s="116">
        <f>(Indeks!C184/Indeks!$C$40*Indeks!$C$2)/Indeks!H184*100</f>
        <v>0.66970688406760437</v>
      </c>
      <c r="D184" s="116">
        <f>(Indeks!D184/Indeks!$D$40*Indeks!$D$2)/Indeks!H184*100</f>
        <v>0.1620966992367244</v>
      </c>
      <c r="E184" s="116">
        <f>(Indeks!E184/Indeks!$E$40*Indeks!$E$2)/Indeks!H184*100</f>
        <v>8.1160209436050706E-2</v>
      </c>
      <c r="F184" s="116">
        <f>(Indeks!F184/Indeks!$F$40*Indeks!$F$2)/Indeks!H184*100</f>
        <v>8.4531272357225087E-2</v>
      </c>
      <c r="G184" s="116">
        <f>(Indeks!G184/Indeks!$G$40*Indeks!$G$2)/Indeks!H184*100</f>
        <v>2.5049349023953137E-3</v>
      </c>
      <c r="H184" s="116">
        <f t="shared" ref="H184:H195" si="25">SUM(C184:G184)</f>
        <v>1</v>
      </c>
    </row>
    <row r="185" spans="1:8" hidden="1" x14ac:dyDescent="0.2">
      <c r="A185" s="12">
        <f>A184</f>
        <v>2020</v>
      </c>
      <c r="B185" s="33" t="s">
        <v>9</v>
      </c>
      <c r="C185" s="116">
        <f>(Indeks!C185/Indeks!$C$40*Indeks!$C$2)/Indeks!H185*100</f>
        <v>0.66702608251651285</v>
      </c>
      <c r="D185" s="116">
        <f>(Indeks!D185/Indeks!$D$40*Indeks!$D$2)/Indeks!H185*100</f>
        <v>0.16411639389709878</v>
      </c>
      <c r="E185" s="116">
        <f>(Indeks!E185/Indeks!$E$40*Indeks!$E$2)/Indeks!H185*100</f>
        <v>8.0678519809759236E-2</v>
      </c>
      <c r="F185" s="116">
        <f>(Indeks!F185/Indeks!$F$40*Indeks!$F$2)/Indeks!H185*100</f>
        <v>8.4273930730785374E-2</v>
      </c>
      <c r="G185" s="116">
        <f>(Indeks!G185/Indeks!$G$40*Indeks!$G$2)/Indeks!H185*100</f>
        <v>3.9050730458435744E-3</v>
      </c>
      <c r="H185" s="116">
        <f t="shared" si="25"/>
        <v>0.99999999999999978</v>
      </c>
    </row>
    <row r="186" spans="1:8" hidden="1" x14ac:dyDescent="0.2">
      <c r="A186" s="16">
        <f t="shared" ref="A186:A195" si="26">A185</f>
        <v>2020</v>
      </c>
      <c r="B186" s="17" t="s">
        <v>10</v>
      </c>
      <c r="C186" s="117">
        <f>(Indeks!C186/Indeks!$C$40*Indeks!$C$2)/Indeks!H186*100</f>
        <v>0.66315969106609662</v>
      </c>
      <c r="D186" s="117">
        <f>(Indeks!D186/Indeks!$D$40*Indeks!$D$2)/Indeks!H186*100</f>
        <v>0.16891346336573826</v>
      </c>
      <c r="E186" s="117">
        <f>(Indeks!E186/Indeks!$E$40*Indeks!$E$2)/Indeks!H186*100</f>
        <v>8.0288820132957489E-2</v>
      </c>
      <c r="F186" s="117">
        <f>(Indeks!F186/Indeks!$F$40*Indeks!$F$2)/Indeks!H186*100</f>
        <v>8.4510506388186288E-2</v>
      </c>
      <c r="G186" s="117">
        <f>(Indeks!G186/Indeks!$G$40*Indeks!$G$2)/Indeks!H186*100</f>
        <v>3.1275190470212411E-3</v>
      </c>
      <c r="H186" s="117">
        <f t="shared" si="25"/>
        <v>0.99999999999999989</v>
      </c>
    </row>
    <row r="187" spans="1:8" hidden="1" x14ac:dyDescent="0.2">
      <c r="A187" s="32">
        <f t="shared" si="26"/>
        <v>2020</v>
      </c>
      <c r="B187" s="33" t="s">
        <v>11</v>
      </c>
      <c r="C187" s="116">
        <f>(Indeks!C187/Indeks!$C$40*Indeks!$C$2)/Indeks!H187*100</f>
        <v>0.67154428352818796</v>
      </c>
      <c r="D187" s="116">
        <f>(Indeks!D187/Indeks!$D$40*Indeks!$D$2)/Indeks!H187*100</f>
        <v>0.16065190287713457</v>
      </c>
      <c r="E187" s="116">
        <f>(Indeks!E187/Indeks!$E$40*Indeks!$E$2)/Indeks!H187*100</f>
        <v>8.1425069435471481E-2</v>
      </c>
      <c r="F187" s="116">
        <f>(Indeks!F187/Indeks!$F$40*Indeks!$F$2)/Indeks!H187*100</f>
        <v>8.5291361265947677E-2</v>
      </c>
      <c r="G187" s="116">
        <f>(Indeks!G187/Indeks!$G$40*Indeks!$G$2)/Indeks!H187*100</f>
        <v>1.0873828932584807E-3</v>
      </c>
      <c r="H187" s="116">
        <f t="shared" si="25"/>
        <v>1.0000000000000002</v>
      </c>
    </row>
    <row r="188" spans="1:8" hidden="1" x14ac:dyDescent="0.2">
      <c r="A188" s="32">
        <f t="shared" si="26"/>
        <v>2020</v>
      </c>
      <c r="B188" s="67" t="s">
        <v>12</v>
      </c>
      <c r="C188" s="116">
        <f>(Indeks!C188/Indeks!$C$40*Indeks!$C$2)/Indeks!H188*100</f>
        <v>0.67625623835796522</v>
      </c>
      <c r="D188" s="116">
        <f>(Indeks!D188/Indeks!$D$40*Indeks!$D$2)/Indeks!H188*100</f>
        <v>0.1510038339894299</v>
      </c>
      <c r="E188" s="116">
        <f>(Indeks!E188/Indeks!$E$40*Indeks!$E$2)/Indeks!H188*100</f>
        <v>8.1758954937528855E-2</v>
      </c>
      <c r="F188" s="116">
        <f>(Indeks!F188/Indeks!$F$40*Indeks!$F$2)/Indeks!H188*100</f>
        <v>8.6053415927102722E-2</v>
      </c>
      <c r="G188" s="116">
        <f>(Indeks!G188/Indeks!$G$40*Indeks!$G$2)/Indeks!H188*100</f>
        <v>4.9275567879733372E-3</v>
      </c>
      <c r="H188" s="116">
        <f t="shared" si="25"/>
        <v>0.99999999999999989</v>
      </c>
    </row>
    <row r="189" spans="1:8" hidden="1" x14ac:dyDescent="0.2">
      <c r="A189" s="16">
        <f t="shared" si="26"/>
        <v>2020</v>
      </c>
      <c r="B189" s="17" t="s">
        <v>13</v>
      </c>
      <c r="C189" s="117">
        <f>(Indeks!C189/Indeks!$C$40*Indeks!$C$2)/Indeks!H189*100</f>
        <v>0.68568115981458677</v>
      </c>
      <c r="D189" s="117">
        <f>(Indeks!D189/Indeks!$D$40*Indeks!$D$2)/Indeks!H189*100</f>
        <v>0.14036197580803222</v>
      </c>
      <c r="E189" s="117">
        <f>(Indeks!E189/Indeks!$E$40*Indeks!$E$2)/Indeks!H189*100</f>
        <v>8.281817186195059E-2</v>
      </c>
      <c r="F189" s="117">
        <f>(Indeks!F189/Indeks!$F$40*Indeks!$F$2)/Indeks!H189*100</f>
        <v>8.7252734528815379E-2</v>
      </c>
      <c r="G189" s="117">
        <f>(Indeks!G189/Indeks!$G$40*Indeks!$G$2)/Indeks!H189*100</f>
        <v>3.8859579866150685E-3</v>
      </c>
      <c r="H189" s="117">
        <f t="shared" si="25"/>
        <v>1</v>
      </c>
    </row>
    <row r="190" spans="1:8" hidden="1" x14ac:dyDescent="0.2">
      <c r="A190" s="12">
        <f t="shared" si="26"/>
        <v>2020</v>
      </c>
      <c r="B190" s="13" t="s">
        <v>31</v>
      </c>
      <c r="C190" s="116">
        <f>(Indeks!C190/Indeks!$C$40*Indeks!$C$2)/Indeks!H190*100</f>
        <v>0.6921325009353213</v>
      </c>
      <c r="D190" s="116">
        <f>(Indeks!D190/Indeks!$D$40*Indeks!$D$2)/Indeks!H190*100</f>
        <v>0.13436394267362606</v>
      </c>
      <c r="E190" s="116">
        <f>(Indeks!E190/Indeks!$E$40*Indeks!$E$2)/Indeks!H190*100</f>
        <v>8.3157935319879805E-2</v>
      </c>
      <c r="F190" s="116">
        <f>(Indeks!F190/Indeks!$F$40*Indeks!$F$2)/Indeks!H190*100</f>
        <v>8.7779028204528917E-2</v>
      </c>
      <c r="G190" s="116">
        <f>(Indeks!G190/Indeks!$G$40*Indeks!$G$2)/Indeks!H190*100</f>
        <v>2.566592866643977E-3</v>
      </c>
      <c r="H190" s="116">
        <f t="shared" si="25"/>
        <v>1</v>
      </c>
    </row>
    <row r="191" spans="1:8" hidden="1" x14ac:dyDescent="0.2">
      <c r="A191" s="32">
        <f t="shared" si="26"/>
        <v>2020</v>
      </c>
      <c r="B191" s="33" t="s">
        <v>14</v>
      </c>
      <c r="C191" s="116">
        <f>(Indeks!C191/Indeks!$C$40*Indeks!$C$2)/Indeks!H191*100</f>
        <v>0.68742613425523935</v>
      </c>
      <c r="D191" s="116">
        <f>(Indeks!D191/Indeks!$D$40*Indeks!$D$2)/Indeks!H191*100</f>
        <v>0.14011523484079122</v>
      </c>
      <c r="E191" s="116">
        <f>(Indeks!E191/Indeks!$E$40*Indeks!$E$2)/Indeks!H191*100</f>
        <v>8.2672586594197614E-2</v>
      </c>
      <c r="F191" s="116">
        <f>(Indeks!F191/Indeks!$F$40*Indeks!$F$2)/Indeks!H191*100</f>
        <v>8.7347735973605567E-2</v>
      </c>
      <c r="G191" s="116">
        <f>(Indeks!G191/Indeks!$G$40*Indeks!$G$2)/Indeks!H191*100</f>
        <v>2.4383083361662989E-3</v>
      </c>
      <c r="H191" s="116">
        <f t="shared" si="25"/>
        <v>1</v>
      </c>
    </row>
    <row r="192" spans="1:8" hidden="1" x14ac:dyDescent="0.2">
      <c r="A192" s="63">
        <f t="shared" si="26"/>
        <v>2020</v>
      </c>
      <c r="B192" s="64" t="s">
        <v>15</v>
      </c>
      <c r="C192" s="117">
        <f>(Indeks!C192/Indeks!$C$40*Indeks!$C$2)/Indeks!H192*100</f>
        <v>0.68393837025753279</v>
      </c>
      <c r="D192" s="117">
        <f>(Indeks!D192/Indeks!$D$40*Indeks!$D$2)/Indeks!H192*100</f>
        <v>0.14422697485208777</v>
      </c>
      <c r="E192" s="117">
        <f>(Indeks!E192/Indeks!$E$40*Indeks!$E$2)/Indeks!H192*100</f>
        <v>8.2890755493168947E-2</v>
      </c>
      <c r="F192" s="117">
        <f>(Indeks!F192/Indeks!$F$40*Indeks!$F$2)/Indeks!H192*100</f>
        <v>8.7069311562779278E-2</v>
      </c>
      <c r="G192" s="117">
        <f>(Indeks!G192/Indeks!$G$40*Indeks!$G$2)/Indeks!H192*100</f>
        <v>1.87458783443128E-3</v>
      </c>
      <c r="H192" s="117">
        <f t="shared" si="25"/>
        <v>1</v>
      </c>
    </row>
    <row r="193" spans="1:27" hidden="1" x14ac:dyDescent="0.2">
      <c r="A193" s="32">
        <f t="shared" si="26"/>
        <v>2020</v>
      </c>
      <c r="B193" s="67" t="s">
        <v>16</v>
      </c>
      <c r="C193" s="116">
        <f>(Indeks!C193/Indeks!$C$40*Indeks!$C$2)/Indeks!H193*100</f>
        <v>0.68422810855101179</v>
      </c>
      <c r="D193" s="116">
        <f>(Indeks!D193/Indeks!$D$40*Indeks!$D$2)/Indeks!H193*100</f>
        <v>0.14387641048857477</v>
      </c>
      <c r="E193" s="116">
        <f>(Indeks!E193/Indeks!$E$40*Indeks!$E$2)/Indeks!H193*100</f>
        <v>8.2371241931363623E-2</v>
      </c>
      <c r="F193" s="116">
        <f>(Indeks!F193/Indeks!$F$40*Indeks!$F$2)/Indeks!H193*100</f>
        <v>8.710419842010772E-2</v>
      </c>
      <c r="G193" s="116">
        <f>(Indeks!G193/Indeks!$G$40*Indeks!$G$2)/Indeks!H193*100</f>
        <v>2.4200406089420236E-3</v>
      </c>
      <c r="H193" s="116">
        <f t="shared" si="25"/>
        <v>1</v>
      </c>
    </row>
    <row r="194" spans="1:27" hidden="1" x14ac:dyDescent="0.2">
      <c r="A194" s="32">
        <f t="shared" si="26"/>
        <v>2020</v>
      </c>
      <c r="B194" s="67" t="s">
        <v>17</v>
      </c>
      <c r="C194" s="116">
        <f>(Indeks!C194/Indeks!$C$40*Indeks!$C$2)/Indeks!H194*100</f>
        <v>0.68714103635358881</v>
      </c>
      <c r="D194" s="116">
        <f>(Indeks!D194/Indeks!$D$40*Indeks!$D$2)/Indeks!H194*100</f>
        <v>0.14116734330255873</v>
      </c>
      <c r="E194" s="116">
        <f>(Indeks!E194/Indeks!$E$40*Indeks!$E$2)/Indeks!H194*100</f>
        <v>8.2642069212810434E-2</v>
      </c>
      <c r="F194" s="116">
        <f>(Indeks!F194/Indeks!$F$40*Indeks!$F$2)/Indeks!H194*100</f>
        <v>8.7392498868329282E-2</v>
      </c>
      <c r="G194" s="116">
        <f>(Indeks!G194/Indeks!$G$40*Indeks!$G$2)/Indeks!H194*100</f>
        <v>1.6570522627126344E-3</v>
      </c>
      <c r="H194" s="116">
        <f t="shared" si="25"/>
        <v>1</v>
      </c>
    </row>
    <row r="195" spans="1:27" ht="13.5" hidden="1" thickBot="1" x14ac:dyDescent="0.25">
      <c r="A195" s="38">
        <f t="shared" si="26"/>
        <v>2020</v>
      </c>
      <c r="B195" s="39" t="s">
        <v>18</v>
      </c>
      <c r="C195" s="93">
        <f>(Indeks!C195/Indeks!$C$40*Indeks!$C$2)/Indeks!H195*100</f>
        <v>0.68788436810900355</v>
      </c>
      <c r="D195" s="93">
        <f>(Indeks!D195/Indeks!$D$40*Indeks!$D$2)/Indeks!H195*100</f>
        <v>0.14101776566946975</v>
      </c>
      <c r="E195" s="93">
        <f>(Indeks!E195/Indeks!$E$40*Indeks!$E$2)/Indeks!H195*100</f>
        <v>8.2891336882009184E-2</v>
      </c>
      <c r="F195" s="93">
        <f>(Indeks!F195/Indeks!$F$40*Indeks!$F$2)/Indeks!H195*100</f>
        <v>8.7321812102265695E-2</v>
      </c>
      <c r="G195" s="93">
        <f>(Indeks!G195/Indeks!$G$40*Indeks!$G$2)/Indeks!H195*100</f>
        <v>8.8471723725190804E-4</v>
      </c>
      <c r="H195" s="93">
        <f t="shared" si="25"/>
        <v>1.0000000000000002</v>
      </c>
    </row>
    <row r="196" spans="1:27" hidden="1" x14ac:dyDescent="0.2">
      <c r="A196" s="8">
        <v>2021</v>
      </c>
      <c r="B196" s="67" t="s">
        <v>8</v>
      </c>
      <c r="C196" s="116">
        <f>(Indeks!C196/Indeks!$C$40*Indeks!$C$2)/Indeks!H196*100</f>
        <v>0.68819506295295796</v>
      </c>
      <c r="D196" s="116">
        <f>(Indeks!D196/Indeks!$D$40*Indeks!$D$2)/Indeks!H196*100</f>
        <v>0.1405817061309001</v>
      </c>
      <c r="E196" s="116">
        <f>(Indeks!E196/Indeks!$E$40*Indeks!$E$2)/Indeks!H196*100</f>
        <v>8.2378742145127082E-2</v>
      </c>
      <c r="F196" s="116">
        <f>(Indeks!F196/Indeks!$F$40*Indeks!$F$2)/Indeks!H196*100</f>
        <v>8.7194310841825134E-2</v>
      </c>
      <c r="G196" s="116">
        <f>(Indeks!G196/Indeks!$G$40*Indeks!$G$2)/Indeks!H196*100</f>
        <v>1.6501779291895782E-3</v>
      </c>
      <c r="H196" s="116">
        <f t="shared" ref="H196:H207" si="27">SUM(C196:G196)</f>
        <v>0.99999999999999989</v>
      </c>
    </row>
    <row r="197" spans="1:27" hidden="1" x14ac:dyDescent="0.2">
      <c r="A197" s="12">
        <f>A196</f>
        <v>2021</v>
      </c>
      <c r="B197" s="33" t="s">
        <v>9</v>
      </c>
      <c r="C197" s="116">
        <f>(Indeks!C197/Indeks!$C$40*Indeks!$C$2)/Indeks!H197*100</f>
        <v>0.68442911005325902</v>
      </c>
      <c r="D197" s="116">
        <f>(Indeks!D197/Indeks!$D$40*Indeks!$D$2)/Indeks!H197*100</f>
        <v>0.14743854408309159</v>
      </c>
      <c r="E197" s="116">
        <f>(Indeks!E197/Indeks!$E$40*Indeks!$E$2)/Indeks!H197*100</f>
        <v>8.1769785709414011E-2</v>
      </c>
      <c r="F197" s="116">
        <f>(Indeks!F197/Indeks!$F$40*Indeks!$F$2)/Indeks!H197*100</f>
        <v>8.6471970007371987E-2</v>
      </c>
      <c r="G197" s="116">
        <f>(Indeks!G197/Indeks!$G$40*Indeks!$G$2)/Indeks!H197*100</f>
        <v>-1.0940985313655233E-4</v>
      </c>
      <c r="H197" s="116">
        <f t="shared" si="27"/>
        <v>0.99999999999999989</v>
      </c>
    </row>
    <row r="198" spans="1:27" hidden="1" x14ac:dyDescent="0.2">
      <c r="A198" s="16">
        <f t="shared" ref="A198:A207" si="28">A197</f>
        <v>2021</v>
      </c>
      <c r="B198" s="17" t="s">
        <v>10</v>
      </c>
      <c r="C198" s="117">
        <f>(Indeks!C198/Indeks!$C$40*Indeks!$C$2)/Indeks!H198*100</f>
        <v>0.68035510245061459</v>
      </c>
      <c r="D198" s="117">
        <f>(Indeks!D198/Indeks!$D$40*Indeks!$D$2)/Indeks!H198*100</f>
        <v>0.14983105049201112</v>
      </c>
      <c r="E198" s="117">
        <f>(Indeks!E198/Indeks!$E$40*Indeks!$E$2)/Indeks!H198*100</f>
        <v>8.1440278445781028E-2</v>
      </c>
      <c r="F198" s="117">
        <f>(Indeks!F198/Indeks!$F$40*Indeks!$F$2)/Indeks!H198*100</f>
        <v>8.6850948210955362E-2</v>
      </c>
      <c r="G198" s="117">
        <f>(Indeks!G198/Indeks!$G$40*Indeks!$G$2)/Indeks!H198*100</f>
        <v>1.5226204006379381E-3</v>
      </c>
      <c r="H198" s="117">
        <f t="shared" si="27"/>
        <v>1.0000000000000002</v>
      </c>
    </row>
    <row r="199" spans="1:27" hidden="1" x14ac:dyDescent="0.2">
      <c r="A199" s="32">
        <f t="shared" si="28"/>
        <v>2021</v>
      </c>
      <c r="B199" s="33" t="s">
        <v>11</v>
      </c>
      <c r="C199" s="116">
        <f>(Indeks!C199/Indeks!$C$40*Indeks!$C$2)/Indeks!H199*100</f>
        <v>0.67515692479486167</v>
      </c>
      <c r="D199" s="116">
        <f>(Indeks!D199/Indeks!$D$40*Indeks!$D$2)/Indeks!H199*100</f>
        <v>0.15437214824410037</v>
      </c>
      <c r="E199" s="116">
        <f>(Indeks!E199/Indeks!$E$40*Indeks!$E$2)/Indeks!H199*100</f>
        <v>8.0941668568501046E-2</v>
      </c>
      <c r="F199" s="116">
        <f>(Indeks!F199/Indeks!$F$40*Indeks!$F$2)/Indeks!H199*100</f>
        <v>8.5982737782553151E-2</v>
      </c>
      <c r="G199" s="116">
        <f>(Indeks!G199/Indeks!$G$40*Indeks!$G$2)/Indeks!H199*100</f>
        <v>3.5465206099837385E-3</v>
      </c>
      <c r="H199" s="116">
        <f t="shared" si="27"/>
        <v>1</v>
      </c>
    </row>
    <row r="200" spans="1:27" hidden="1" x14ac:dyDescent="0.2">
      <c r="A200" s="32">
        <f t="shared" si="28"/>
        <v>2021</v>
      </c>
      <c r="B200" s="67" t="s">
        <v>12</v>
      </c>
      <c r="C200" s="116">
        <f>(Indeks!C200/Indeks!$C$40*Indeks!$C$2)/Indeks!H200*100</f>
        <v>0.67034641612242984</v>
      </c>
      <c r="D200" s="116">
        <f>(Indeks!D200/Indeks!$D$40*Indeks!$D$2)/Indeks!H200*100</f>
        <v>0.15866812608923589</v>
      </c>
      <c r="E200" s="116">
        <f>(Indeks!E200/Indeks!$E$40*Indeks!$E$2)/Indeks!H200*100</f>
        <v>8.04420829905413E-2</v>
      </c>
      <c r="F200" s="116">
        <f>(Indeks!F200/Indeks!$F$40*Indeks!$F$2)/Indeks!H200*100</f>
        <v>8.5848372706085654E-2</v>
      </c>
      <c r="G200" s="116">
        <f>(Indeks!G200/Indeks!$G$40*Indeks!$G$2)/Indeks!H200*100</f>
        <v>4.6950020917073476E-3</v>
      </c>
      <c r="H200" s="116">
        <f t="shared" si="27"/>
        <v>1</v>
      </c>
    </row>
    <row r="201" spans="1:27" hidden="1" x14ac:dyDescent="0.2">
      <c r="A201" s="16">
        <f t="shared" si="28"/>
        <v>2021</v>
      </c>
      <c r="B201" s="17" t="s">
        <v>13</v>
      </c>
      <c r="C201" s="117">
        <f>(Indeks!C201/Indeks!$C$40*Indeks!$C$2)/Indeks!H201*100</f>
        <v>0.6723961596440452</v>
      </c>
      <c r="D201" s="117">
        <f>(Indeks!D201/Indeks!$D$40*Indeks!$D$2)/Indeks!H201*100</f>
        <v>0.15608139902633833</v>
      </c>
      <c r="E201" s="117">
        <f>(Indeks!E201/Indeks!$E$40*Indeks!$E$2)/Indeks!H201*100</f>
        <v>8.0997499817522411E-2</v>
      </c>
      <c r="F201" s="117">
        <f>(Indeks!F201/Indeks!$F$40*Indeks!$F$2)/Indeks!H201*100</f>
        <v>8.6350737673659347E-2</v>
      </c>
      <c r="G201" s="117">
        <f>(Indeks!G201/Indeks!$G$40*Indeks!$G$2)/Indeks!H201*100</f>
        <v>4.1742038384347683E-3</v>
      </c>
      <c r="H201" s="117">
        <f t="shared" si="27"/>
        <v>1</v>
      </c>
    </row>
    <row r="202" spans="1:27" hidden="1" x14ac:dyDescent="0.2">
      <c r="A202" s="12">
        <f t="shared" si="28"/>
        <v>2021</v>
      </c>
      <c r="B202" s="13" t="s">
        <v>31</v>
      </c>
      <c r="C202" s="116">
        <f>(Indeks!C202/Indeks!$C$40*Indeks!$C$2)/Indeks!H202*100</f>
        <v>0.6709420997563591</v>
      </c>
      <c r="D202" s="116">
        <f>(Indeks!D202/Indeks!$D$40*Indeks!$D$2)/Indeks!H202*100</f>
        <v>0.15784039407238307</v>
      </c>
      <c r="E202" s="116">
        <f>(Indeks!E202/Indeks!$E$40*Indeks!$E$2)/Indeks!H202*100</f>
        <v>8.0408871506089913E-2</v>
      </c>
      <c r="F202" s="116">
        <f>(Indeks!F202/Indeks!$F$40*Indeks!$F$2)/Indeks!H202*100</f>
        <v>8.5718212157810766E-2</v>
      </c>
      <c r="G202" s="116">
        <f>(Indeks!G202/Indeks!$G$40*Indeks!$G$2)/Indeks!H202*100</f>
        <v>5.0904225073572541E-3</v>
      </c>
      <c r="H202" s="116">
        <f t="shared" si="27"/>
        <v>1</v>
      </c>
    </row>
    <row r="203" spans="1:27" hidden="1" x14ac:dyDescent="0.2">
      <c r="A203" s="32">
        <f t="shared" si="28"/>
        <v>2021</v>
      </c>
      <c r="B203" s="33" t="s">
        <v>14</v>
      </c>
      <c r="C203" s="116">
        <f>(Indeks!C203/Indeks!$C$40*Indeks!$C$2)/Indeks!H203*100</f>
        <v>0.66859386952789746</v>
      </c>
      <c r="D203" s="116">
        <f>(Indeks!D203/Indeks!$D$40*Indeks!$D$2)/Indeks!H203*100</f>
        <v>0.16118767018133304</v>
      </c>
      <c r="E203" s="116">
        <f>(Indeks!E203/Indeks!$E$40*Indeks!$E$2)/Indeks!H203*100</f>
        <v>8.0203833102833785E-2</v>
      </c>
      <c r="F203" s="116">
        <f>(Indeks!F203/Indeks!$F$40*Indeks!$F$2)/Indeks!H203*100</f>
        <v>8.5576096467339158E-2</v>
      </c>
      <c r="G203" s="116">
        <f>(Indeks!G203/Indeks!$G$40*Indeks!$G$2)/Indeks!H203*100</f>
        <v>4.4385307205965473E-3</v>
      </c>
      <c r="H203" s="116">
        <f t="shared" si="27"/>
        <v>1</v>
      </c>
    </row>
    <row r="204" spans="1:27" hidden="1" x14ac:dyDescent="0.2">
      <c r="A204" s="63">
        <f t="shared" si="28"/>
        <v>2021</v>
      </c>
      <c r="B204" s="64" t="s">
        <v>15</v>
      </c>
      <c r="C204" s="117">
        <f>(Indeks!C204/Indeks!$C$40*Indeks!$C$2)/Indeks!H204*100</f>
        <v>0.66632356617096034</v>
      </c>
      <c r="D204" s="117">
        <f>(Indeks!D204/Indeks!$D$40*Indeks!$D$2)/Indeks!H204*100</f>
        <v>0.16395102296587596</v>
      </c>
      <c r="E204" s="117">
        <f>(Indeks!E204/Indeks!$E$40*Indeks!$E$2)/Indeks!H204*100</f>
        <v>8.0464366445566177E-2</v>
      </c>
      <c r="F204" s="117">
        <f>(Indeks!F204/Indeks!$F$40*Indeks!$F$2)/Indeks!H204*100</f>
        <v>8.536418761520348E-2</v>
      </c>
      <c r="G204" s="117">
        <f>(Indeks!G204/Indeks!$G$40*Indeks!$G$2)/Indeks!H204*100</f>
        <v>3.8968568023940854E-3</v>
      </c>
      <c r="H204" s="117">
        <f t="shared" si="27"/>
        <v>1</v>
      </c>
    </row>
    <row r="205" spans="1:27" hidden="1" x14ac:dyDescent="0.2">
      <c r="A205" s="32">
        <f t="shared" si="28"/>
        <v>2021</v>
      </c>
      <c r="B205" s="67" t="s">
        <v>16</v>
      </c>
      <c r="C205" s="116">
        <f>(Indeks!C205/Indeks!$C$40*Indeks!$C$2)/Indeks!H205*100</f>
        <v>0.66881519726972827</v>
      </c>
      <c r="D205" s="116">
        <f>(Indeks!D205/Indeks!$D$40*Indeks!$D$2)/Indeks!H205*100</f>
        <v>0.16227916798048622</v>
      </c>
      <c r="E205" s="116">
        <f>(Indeks!E205/Indeks!$E$40*Indeks!$E$2)/Indeks!H205*100</f>
        <v>7.9773302683314493E-2</v>
      </c>
      <c r="F205" s="116">
        <f>(Indeks!F205/Indeks!$F$40*Indeks!$F$2)/Indeks!H205*100</f>
        <v>8.4947777663078011E-2</v>
      </c>
      <c r="G205" s="116">
        <f>(Indeks!G205/Indeks!$G$40*Indeks!$G$2)/Indeks!H205*100</f>
        <v>4.1845544033930898E-3</v>
      </c>
      <c r="H205" s="116">
        <f t="shared" si="27"/>
        <v>1.0000000000000002</v>
      </c>
    </row>
    <row r="206" spans="1:27" hidden="1" x14ac:dyDescent="0.2">
      <c r="A206" s="32">
        <f t="shared" si="28"/>
        <v>2021</v>
      </c>
      <c r="B206" s="67" t="s">
        <v>17</v>
      </c>
      <c r="C206" s="116">
        <f>(Indeks!C206/Indeks!$C$40*Indeks!$C$2)/Indeks!H206*100</f>
        <v>0.66534067613145764</v>
      </c>
      <c r="D206" s="116">
        <f>(Indeks!D206/Indeks!$D$40*Indeks!$D$2)/Indeks!H206*100</f>
        <v>0.16541868645670321</v>
      </c>
      <c r="E206" s="116">
        <f>(Indeks!E206/Indeks!$E$40*Indeks!$E$2)/Indeks!H206*100</f>
        <v>7.9584542306030084E-2</v>
      </c>
      <c r="F206" s="116">
        <f>(Indeks!F206/Indeks!$F$40*Indeks!$F$2)/Indeks!H206*100</f>
        <v>8.4972927691467151E-2</v>
      </c>
      <c r="G206" s="116">
        <f>(Indeks!G206/Indeks!$G$40*Indeks!$G$2)/Indeks!H206*100</f>
        <v>4.6831674143418831E-3</v>
      </c>
      <c r="H206" s="116">
        <f t="shared" si="27"/>
        <v>1</v>
      </c>
    </row>
    <row r="207" spans="1:27" ht="13.5" hidden="1" thickBot="1" x14ac:dyDescent="0.25">
      <c r="A207" s="38">
        <f t="shared" si="28"/>
        <v>2021</v>
      </c>
      <c r="B207" s="39" t="s">
        <v>18</v>
      </c>
      <c r="C207" s="93">
        <f>(Indeks!C207/Indeks!$C$40*Indeks!$C$2)/Indeks!H207*100</f>
        <v>0.65445443766814204</v>
      </c>
      <c r="D207" s="93">
        <f>(Indeks!D207/Indeks!$D$40*Indeks!$D$2)/Indeks!H207*100</f>
        <v>0.17754228987138507</v>
      </c>
      <c r="E207" s="93">
        <f>(Indeks!E207/Indeks!$E$40*Indeks!$E$2)/Indeks!H207*100</f>
        <v>7.9022297029274019E-2</v>
      </c>
      <c r="F207" s="93">
        <f>(Indeks!F207/Indeks!$F$40*Indeks!$F$2)/Indeks!H207*100</f>
        <v>8.3964963149440811E-2</v>
      </c>
      <c r="G207" s="93">
        <f>(Indeks!G207/Indeks!$G$40*Indeks!$G$2)/Indeks!H207*100</f>
        <v>5.0160122817579991E-3</v>
      </c>
      <c r="H207" s="93">
        <f t="shared" si="27"/>
        <v>0.99999999999999989</v>
      </c>
    </row>
    <row r="208" spans="1:27" hidden="1" x14ac:dyDescent="0.2">
      <c r="A208" s="8">
        <v>2022</v>
      </c>
      <c r="B208" s="67" t="s">
        <v>8</v>
      </c>
      <c r="C208" s="116">
        <f>(Indeks!C208/Indeks!$C$40*Indeks!$C$2)/Indeks!H208*100</f>
        <v>0.6552561298259455</v>
      </c>
      <c r="D208" s="116">
        <f>(Indeks!D208/Indeks!$D$40*Indeks!$D$2)/Indeks!H208*100</f>
        <v>0.17803210200321337</v>
      </c>
      <c r="E208" s="116">
        <f>(Indeks!E208/Indeks!$E$40*Indeks!$E$2)/Indeks!H208*100</f>
        <v>7.8903294806848753E-2</v>
      </c>
      <c r="F208" s="116">
        <f>(Indeks!F208/Indeks!$F$40*Indeks!$F$2)/Indeks!H208*100</f>
        <v>8.3527534039629259E-2</v>
      </c>
      <c r="G208" s="116">
        <f>(Indeks!G208/Indeks!$G$40*Indeks!$G$2)/Indeks!H208*100</f>
        <v>4.2809393243633028E-3</v>
      </c>
      <c r="H208" s="116">
        <f t="shared" ref="H208:H219" si="29">SUM(C208:G208)</f>
        <v>1.0000000000000002</v>
      </c>
      <c r="W208" s="67"/>
      <c r="X208" s="67"/>
      <c r="Y208" s="67"/>
      <c r="Z208" s="67"/>
      <c r="AA208" s="67"/>
    </row>
    <row r="209" spans="1:27" hidden="1" x14ac:dyDescent="0.2">
      <c r="A209" s="12">
        <f>A208</f>
        <v>2022</v>
      </c>
      <c r="B209" s="13" t="s">
        <v>9</v>
      </c>
      <c r="C209" s="116">
        <f>(Indeks!C209/Indeks!$C$40*Indeks!$C$2)/Indeks!H209*100</f>
        <v>0.65833616347325485</v>
      </c>
      <c r="D209" s="116">
        <f>(Indeks!D209/Indeks!$D$40*Indeks!$D$2)/Indeks!H209*100</f>
        <v>0.17285066039602109</v>
      </c>
      <c r="E209" s="116">
        <f>(Indeks!E209/Indeks!$E$40*Indeks!$E$2)/Indeks!H209*100</f>
        <v>7.8904085799029869E-2</v>
      </c>
      <c r="F209" s="116">
        <f>(Indeks!F209/Indeks!$F$40*Indeks!$F$2)/Indeks!H209*100</f>
        <v>8.4379153610721416E-2</v>
      </c>
      <c r="G209" s="116">
        <f>(Indeks!G209/Indeks!$G$40*Indeks!$G$2)/Indeks!H209*100</f>
        <v>5.5299367209725846E-3</v>
      </c>
      <c r="H209" s="116">
        <f t="shared" si="29"/>
        <v>0.99999999999999978</v>
      </c>
      <c r="W209" s="67"/>
      <c r="X209" s="67"/>
      <c r="Y209" s="67"/>
      <c r="Z209" s="67"/>
      <c r="AA209" s="67"/>
    </row>
    <row r="210" spans="1:27" hidden="1" x14ac:dyDescent="0.2">
      <c r="A210" s="16">
        <f t="shared" ref="A210:A219" si="30">A209</f>
        <v>2022</v>
      </c>
      <c r="B210" s="17" t="s">
        <v>10</v>
      </c>
      <c r="C210" s="117">
        <f>(Indeks!C210/Indeks!$C$40*Indeks!$C$2)/Indeks!H210*100</f>
        <v>0.65127272305708284</v>
      </c>
      <c r="D210" s="117">
        <f>(Indeks!D210/Indeks!$D$40*Indeks!$D$2)/Indeks!H210*100</f>
        <v>0.17681135800789943</v>
      </c>
      <c r="E210" s="117">
        <f>(Indeks!E210/Indeks!$E$40*Indeks!$E$2)/Indeks!H210*100</f>
        <v>7.9155875833432865E-2</v>
      </c>
      <c r="F210" s="117">
        <f>(Indeks!F210/Indeks!$F$40*Indeks!$F$2)/Indeks!H210*100</f>
        <v>8.5668518418555328E-2</v>
      </c>
      <c r="G210" s="117">
        <f>(Indeks!G210/Indeks!$G$40*Indeks!$G$2)/Indeks!H210*100</f>
        <v>7.0915246830294794E-3</v>
      </c>
      <c r="H210" s="117">
        <f t="shared" si="29"/>
        <v>1</v>
      </c>
      <c r="W210" s="67"/>
      <c r="X210" s="67"/>
      <c r="Y210" s="67"/>
      <c r="Z210" s="67"/>
      <c r="AA210" s="67"/>
    </row>
    <row r="211" spans="1:27" hidden="1" x14ac:dyDescent="0.2">
      <c r="A211" s="21">
        <f t="shared" si="30"/>
        <v>2022</v>
      </c>
      <c r="B211" s="22" t="s">
        <v>11</v>
      </c>
      <c r="C211" s="116">
        <f>(Indeks!C211/Indeks!$C$40*Indeks!$C$2)/Indeks!H211*100</f>
        <v>0.64374187867189703</v>
      </c>
      <c r="D211" s="116">
        <f>(Indeks!D211/Indeks!$D$40*Indeks!$D$2)/Indeks!H211*100</f>
        <v>0.18219050310041093</v>
      </c>
      <c r="E211" s="116">
        <f>(Indeks!E211/Indeks!$E$40*Indeks!$E$2)/Indeks!H211*100</f>
        <v>7.8873433347324551E-2</v>
      </c>
      <c r="F211" s="116">
        <f>(Indeks!F211/Indeks!$F$40*Indeks!$F$2)/Indeks!H211*100</f>
        <v>8.4801552597409444E-2</v>
      </c>
      <c r="G211" s="116">
        <f>(Indeks!G211/Indeks!$G$40*Indeks!$G$2)/Indeks!H211*100</f>
        <v>1.0392632282958001E-2</v>
      </c>
      <c r="H211" s="116">
        <f t="shared" si="29"/>
        <v>0.99999999999999989</v>
      </c>
      <c r="W211" s="67"/>
      <c r="X211" s="67"/>
      <c r="Y211" s="67"/>
      <c r="Z211" s="67"/>
      <c r="AA211" s="67"/>
    </row>
    <row r="212" spans="1:27" hidden="1" x14ac:dyDescent="0.2">
      <c r="A212" s="12">
        <f t="shared" si="30"/>
        <v>2022</v>
      </c>
      <c r="B212" s="13" t="s">
        <v>12</v>
      </c>
      <c r="C212" s="116">
        <f>(Indeks!C212/Indeks!$C$40*Indeks!$C$2)/Indeks!H212*100</f>
        <v>0.62253483346463512</v>
      </c>
      <c r="D212" s="116">
        <f>(Indeks!D212/Indeks!$D$40*Indeks!$D$2)/Indeks!H212*100</f>
        <v>0.20656586130856561</v>
      </c>
      <c r="E212" s="116">
        <f>(Indeks!E212/Indeks!$E$40*Indeks!$E$2)/Indeks!H212*100</f>
        <v>7.676401719019034E-2</v>
      </c>
      <c r="F212" s="116">
        <f>(Indeks!F212/Indeks!$F$40*Indeks!$F$2)/Indeks!H212*100</f>
        <v>8.2152281368970931E-2</v>
      </c>
      <c r="G212" s="116">
        <f>(Indeks!G212/Indeks!$G$40*Indeks!$G$2)/Indeks!H212*100</f>
        <v>1.1983006667638118E-2</v>
      </c>
      <c r="H212" s="116">
        <f t="shared" si="29"/>
        <v>1</v>
      </c>
      <c r="W212" s="67"/>
      <c r="X212" s="67"/>
      <c r="Y212" s="67"/>
      <c r="Z212" s="67"/>
      <c r="AA212" s="67"/>
    </row>
    <row r="213" spans="1:27" ht="13.5" hidden="1" thickBot="1" x14ac:dyDescent="0.25">
      <c r="A213" s="38">
        <f t="shared" si="30"/>
        <v>2022</v>
      </c>
      <c r="B213" s="39" t="s">
        <v>13</v>
      </c>
      <c r="C213" s="93">
        <f>(Indeks!C213/Indeks!$C$40*Indeks!$C$2)/Indeks!H213*100</f>
        <v>0.61976199882721605</v>
      </c>
      <c r="D213" s="93">
        <f>(Indeks!D213/Indeks!$D$40*Indeks!$D$2)/Indeks!H213*100</f>
        <v>0.2040679505851285</v>
      </c>
      <c r="E213" s="93">
        <f>(Indeks!E213/Indeks!$E$40*Indeks!$E$2)/Indeks!H213*100</f>
        <v>7.7673783689984191E-2</v>
      </c>
      <c r="F213" s="93">
        <f>(Indeks!F213/Indeks!$F$40*Indeks!$F$2)/Indeks!H213*100</f>
        <v>8.3295605348415611E-2</v>
      </c>
      <c r="G213" s="93">
        <f>(Indeks!G213/Indeks!$G$40*Indeks!$G$2)/Indeks!H213*100</f>
        <v>1.5200661549255652E-2</v>
      </c>
      <c r="H213" s="93">
        <f t="shared" si="29"/>
        <v>1</v>
      </c>
    </row>
    <row r="214" spans="1:27" hidden="1" x14ac:dyDescent="0.2">
      <c r="A214" s="12">
        <f t="shared" si="30"/>
        <v>2022</v>
      </c>
      <c r="B214" s="13" t="s">
        <v>31</v>
      </c>
      <c r="C214" s="116">
        <f>(Indeks!C214/Indeks!$C$40*Indeks!$C$2)/Indeks!H214*100</f>
        <v>0.61259043877297559</v>
      </c>
      <c r="D214" s="116">
        <f>(Indeks!D214/Indeks!$D$40*Indeks!$D$2)/Indeks!H214*100</f>
        <v>0.21082751286363549</v>
      </c>
      <c r="E214" s="116">
        <f>(Indeks!E214/Indeks!$E$40*Indeks!$E$2)/Indeks!H214*100</f>
        <v>7.7090666270993563E-2</v>
      </c>
      <c r="F214" s="116">
        <f>(Indeks!F214/Indeks!$F$40*Indeks!$F$2)/Indeks!H214*100</f>
        <v>8.2078132687589539E-2</v>
      </c>
      <c r="G214" s="116">
        <f>(Indeks!G214/Indeks!$G$40*Indeks!$G$2)/Indeks!H214*100</f>
        <v>1.7413249404805809E-2</v>
      </c>
      <c r="H214" s="116">
        <f t="shared" si="29"/>
        <v>1</v>
      </c>
    </row>
    <row r="215" spans="1:27" hidden="1" x14ac:dyDescent="0.2">
      <c r="A215" s="12">
        <f t="shared" si="30"/>
        <v>2022</v>
      </c>
      <c r="B215" s="13" t="s">
        <v>14</v>
      </c>
      <c r="C215" s="116">
        <f>(Indeks!C215/Indeks!$C$40*Indeks!$C$2)/Indeks!H215*100</f>
        <v>0.59742038375300932</v>
      </c>
      <c r="D215" s="116">
        <f>(Indeks!D215/Indeks!$D$40*Indeks!$D$2)/Indeks!H215*100</f>
        <v>0.22730254063957714</v>
      </c>
      <c r="E215" s="116">
        <f>(Indeks!E215/Indeks!$E$40*Indeks!$E$2)/Indeks!H215*100</f>
        <v>7.5781995478312714E-2</v>
      </c>
      <c r="F215" s="116">
        <f>(Indeks!F215/Indeks!$F$40*Indeks!$F$2)/Indeks!H215*100</f>
        <v>8.039029466595532E-2</v>
      </c>
      <c r="G215" s="116">
        <f>(Indeks!G215/Indeks!$G$40*Indeks!$G$2)/Indeks!H215*100</f>
        <v>1.9104785463145205E-2</v>
      </c>
      <c r="H215" s="116">
        <f t="shared" si="29"/>
        <v>0.99999999999999978</v>
      </c>
      <c r="W215" s="67"/>
      <c r="X215" s="67"/>
      <c r="Y215" s="67"/>
      <c r="Z215" s="67"/>
      <c r="AA215" s="67"/>
    </row>
    <row r="216" spans="1:27" hidden="1" x14ac:dyDescent="0.2">
      <c r="A216" s="63">
        <f t="shared" si="30"/>
        <v>2022</v>
      </c>
      <c r="B216" s="64" t="s">
        <v>15</v>
      </c>
      <c r="C216" s="117">
        <f>(Indeks!C216/Indeks!$C$40*Indeks!$C$2)/Indeks!H216*100</f>
        <v>0.60355286185993162</v>
      </c>
      <c r="D216" s="117">
        <f>(Indeks!D216/Indeks!$D$40*Indeks!$D$2)/Indeks!H216*100</f>
        <v>0.21931364390139282</v>
      </c>
      <c r="E216" s="117">
        <f>(Indeks!E216/Indeks!$E$40*Indeks!$E$2)/Indeks!H216*100</f>
        <v>7.7436017845750993E-2</v>
      </c>
      <c r="F216" s="117">
        <f>(Indeks!F216/Indeks!$F$40*Indeks!$F$2)/Indeks!H216*100</f>
        <v>8.198167928987643E-2</v>
      </c>
      <c r="G216" s="117">
        <f>(Indeks!G216/Indeks!$G$40*Indeks!$G$2)/Indeks!H216*100</f>
        <v>1.7715797103048141E-2</v>
      </c>
      <c r="H216" s="117">
        <f t="shared" si="29"/>
        <v>1</v>
      </c>
      <c r="W216" s="67"/>
      <c r="X216" s="67"/>
      <c r="Y216" s="67"/>
      <c r="Z216" s="67"/>
      <c r="AA216" s="67"/>
    </row>
    <row r="217" spans="1:27" hidden="1" x14ac:dyDescent="0.2">
      <c r="A217" s="32">
        <f t="shared" si="30"/>
        <v>2022</v>
      </c>
      <c r="B217" s="67" t="s">
        <v>16</v>
      </c>
      <c r="C217" s="116">
        <f>(Indeks!C217/Indeks!$C$40*Indeks!$C$2)/Indeks!H217*100</f>
        <v>0.61139337686629891</v>
      </c>
      <c r="D217" s="116">
        <f>(Indeks!D217/Indeks!$D$40*Indeks!$D$2)/Indeks!H217*100</f>
        <v>0.20446287043765676</v>
      </c>
      <c r="E217" s="116">
        <f>(Indeks!E217/Indeks!$E$40*Indeks!$E$2)/Indeks!H217*100</f>
        <v>7.7749196472743531E-2</v>
      </c>
      <c r="F217" s="116">
        <f>(Indeks!F217/Indeks!$F$40*Indeks!$F$2)/Indeks!H217*100</f>
        <v>8.2802785674864071E-2</v>
      </c>
      <c r="G217" s="116">
        <f>(Indeks!G217/Indeks!$G$40*Indeks!$G$2)/Indeks!H217*100</f>
        <v>2.3591770548437023E-2</v>
      </c>
      <c r="H217" s="116">
        <f t="shared" si="29"/>
        <v>1.0000000000000002</v>
      </c>
      <c r="W217" s="67"/>
      <c r="X217" s="67"/>
      <c r="Y217" s="67"/>
      <c r="Z217" s="67"/>
      <c r="AA217" s="67"/>
    </row>
    <row r="218" spans="1:27" hidden="1" x14ac:dyDescent="0.2">
      <c r="A218" s="32">
        <f t="shared" si="30"/>
        <v>2022</v>
      </c>
      <c r="B218" s="67" t="s">
        <v>17</v>
      </c>
      <c r="C218" s="116">
        <f>(Indeks!C218/Indeks!$C$40*Indeks!$C$2)/Indeks!H218*100</f>
        <v>0.60591250533156482</v>
      </c>
      <c r="D218" s="116">
        <f>(Indeks!D218/Indeks!$D$40*Indeks!$D$2)/Indeks!H218*100</f>
        <v>0.20402477557216991</v>
      </c>
      <c r="E218" s="116">
        <f>(Indeks!E218/Indeks!$E$40*Indeks!$E$2)/Indeks!H218*100</f>
        <v>7.8058112788127534E-2</v>
      </c>
      <c r="F218" s="116">
        <f>(Indeks!F218/Indeks!$F$40*Indeks!$F$2)/Indeks!H218*100</f>
        <v>8.2129803130954915E-2</v>
      </c>
      <c r="G218" s="116">
        <f>(Indeks!G218/Indeks!$G$40*Indeks!$G$2)/Indeks!H218*100</f>
        <v>2.9874803177182961E-2</v>
      </c>
      <c r="H218" s="116">
        <f t="shared" si="29"/>
        <v>1.0000000000000002</v>
      </c>
      <c r="W218" s="67"/>
      <c r="X218" s="67"/>
      <c r="Y218" s="67"/>
      <c r="Z218" s="67"/>
      <c r="AA218" s="67"/>
    </row>
    <row r="219" spans="1:27" ht="13.5" hidden="1" thickBot="1" x14ac:dyDescent="0.25">
      <c r="A219" s="38">
        <f t="shared" si="30"/>
        <v>2022</v>
      </c>
      <c r="B219" s="39" t="s">
        <v>18</v>
      </c>
      <c r="C219" s="93">
        <f>(Indeks!C219/Indeks!$C$40*Indeks!$C$2)/Indeks!H219*100</f>
        <v>0.59511262175056456</v>
      </c>
      <c r="D219" s="93">
        <f>(Indeks!D219/Indeks!$D$40*Indeks!$D$2)/Indeks!H219*100</f>
        <v>0.21745046938798718</v>
      </c>
      <c r="E219" s="93">
        <f>(Indeks!E219/Indeks!$E$40*Indeks!$E$2)/Indeks!H219*100</f>
        <v>7.7457171522052698E-2</v>
      </c>
      <c r="F219" s="93">
        <f>(Indeks!F219/Indeks!$F$40*Indeks!$F$2)/Indeks!H219*100</f>
        <v>8.2095430510945561E-2</v>
      </c>
      <c r="G219" s="93">
        <f>(Indeks!G219/Indeks!$G$40*Indeks!$G$2)/Indeks!H219*100</f>
        <v>2.788430682844991E-2</v>
      </c>
      <c r="H219" s="93">
        <f t="shared" si="29"/>
        <v>0.99999999999999989</v>
      </c>
    </row>
    <row r="220" spans="1:27" x14ac:dyDescent="0.2">
      <c r="A220" s="8">
        <v>2023</v>
      </c>
      <c r="B220" s="67" t="s">
        <v>8</v>
      </c>
      <c r="C220" s="116">
        <f>(Indeks!C220/Indeks!$C$40*Indeks!$C$2)/Indeks!H220*100</f>
        <v>0.60815507487968634</v>
      </c>
      <c r="D220" s="116">
        <f>(Indeks!D220/Indeks!$D$40*Indeks!$D$2)/Indeks!H220*100</f>
        <v>0.20390377099130455</v>
      </c>
      <c r="E220" s="116">
        <f>(Indeks!E220/Indeks!$E$40*Indeks!$E$2)/Indeks!H220*100</f>
        <v>7.795206830515454E-2</v>
      </c>
      <c r="F220" s="116">
        <f>(Indeks!F220/Indeks!$F$40*Indeks!$F$2)/Indeks!H220*100</f>
        <v>8.3535823432280623E-2</v>
      </c>
      <c r="G220" s="116">
        <f>(Indeks!G220/Indeks!$G$40*Indeks!$G$2)/Indeks!H220*100</f>
        <v>2.6453262391574237E-2</v>
      </c>
      <c r="H220" s="116">
        <f t="shared" ref="H220:H231" si="31">SUM(C220:G220)</f>
        <v>1.0000000000000002</v>
      </c>
      <c r="W220" s="67"/>
      <c r="X220" s="67"/>
      <c r="Y220" s="67"/>
      <c r="Z220" s="67"/>
      <c r="AA220" s="67"/>
    </row>
    <row r="221" spans="1:27" x14ac:dyDescent="0.2">
      <c r="A221" s="12">
        <f>A220</f>
        <v>2023</v>
      </c>
      <c r="B221" s="13" t="s">
        <v>9</v>
      </c>
      <c r="C221" s="116">
        <f>(Indeks!C221/Indeks!$C$40*Indeks!$C$2)/Indeks!H221*100</f>
        <v>0.61869528370321591</v>
      </c>
      <c r="D221" s="116">
        <f>(Indeks!D221/Indeks!$D$40*Indeks!$D$2)/Indeks!H221*100</f>
        <v>0.1860895097207593</v>
      </c>
      <c r="E221" s="116">
        <f>(Indeks!E221/Indeks!$E$40*Indeks!$E$2)/Indeks!H221*100</f>
        <v>7.8827000026330959E-2</v>
      </c>
      <c r="F221" s="116">
        <f>(Indeks!F221/Indeks!$F$40*Indeks!$F$2)/Indeks!H221*100</f>
        <v>8.5053912807556073E-2</v>
      </c>
      <c r="G221" s="116">
        <f>(Indeks!G221/Indeks!$G$40*Indeks!$G$2)/Indeks!H221*100</f>
        <v>3.1334293742137559E-2</v>
      </c>
      <c r="H221" s="116">
        <f t="shared" si="31"/>
        <v>0.99999999999999978</v>
      </c>
      <c r="W221" s="67"/>
      <c r="X221" s="67"/>
      <c r="Y221" s="67"/>
      <c r="Z221" s="67"/>
      <c r="AA221" s="67"/>
    </row>
    <row r="222" spans="1:27" x14ac:dyDescent="0.2">
      <c r="A222" s="16">
        <f t="shared" ref="A222:A231" si="32">A221</f>
        <v>2023</v>
      </c>
      <c r="B222" s="17" t="s">
        <v>10</v>
      </c>
      <c r="C222" s="117">
        <f>(Indeks!C222/Indeks!$C$40*Indeks!$C$2)/Indeks!H222*100</f>
        <v>0.61334618001991126</v>
      </c>
      <c r="D222" s="117">
        <f>(Indeks!D222/Indeks!$D$40*Indeks!$D$2)/Indeks!H222*100</f>
        <v>0.19225761985890399</v>
      </c>
      <c r="E222" s="117">
        <f>(Indeks!E222/Indeks!$E$40*Indeks!$E$2)/Indeks!H222*100</f>
        <v>7.8482603664661338E-2</v>
      </c>
      <c r="F222" s="117">
        <f>(Indeks!F222/Indeks!$F$40*Indeks!$F$2)/Indeks!H222*100</f>
        <v>8.550319619807463E-2</v>
      </c>
      <c r="G222" s="117">
        <f>(Indeks!G222/Indeks!$G$40*Indeks!$G$2)/Indeks!H222*100</f>
        <v>3.0410400258448832E-2</v>
      </c>
      <c r="H222" s="117">
        <f t="shared" si="31"/>
        <v>1</v>
      </c>
    </row>
    <row r="223" spans="1:27" x14ac:dyDescent="0.2">
      <c r="A223" s="32">
        <f t="shared" si="32"/>
        <v>2023</v>
      </c>
      <c r="B223" s="67" t="s">
        <v>11</v>
      </c>
      <c r="C223" s="116">
        <f>(Indeks!C223/Indeks!$C$40*Indeks!$C$2)/Indeks!H223*100</f>
        <v>0.61823378009390728</v>
      </c>
      <c r="D223" s="116">
        <f>(Indeks!D223/Indeks!$D$40*Indeks!$D$2)/Indeks!H223*100</f>
        <v>0.18394721778519696</v>
      </c>
      <c r="E223" s="116">
        <f>(Indeks!E223/Indeks!$E$40*Indeks!$E$2)/Indeks!H223*100</f>
        <v>7.9214185511796445E-2</v>
      </c>
      <c r="F223" s="116">
        <f>(Indeks!F223/Indeks!$F$40*Indeks!$F$2)/Indeks!H223*100</f>
        <v>8.5213600577300222E-2</v>
      </c>
      <c r="G223" s="116">
        <f>(Indeks!G223/Indeks!$G$40*Indeks!$G$2)/Indeks!H223*100</f>
        <v>3.3391216031799127E-2</v>
      </c>
      <c r="H223" s="116">
        <f t="shared" si="31"/>
        <v>1</v>
      </c>
      <c r="W223" s="67"/>
      <c r="X223" s="67"/>
      <c r="Y223" s="67"/>
      <c r="Z223" s="67"/>
      <c r="AA223" s="67"/>
    </row>
    <row r="224" spans="1:27" x14ac:dyDescent="0.2">
      <c r="A224" s="12">
        <f t="shared" si="32"/>
        <v>2023</v>
      </c>
      <c r="B224" s="13" t="s">
        <v>12</v>
      </c>
      <c r="C224" s="116">
        <f>(Indeks!C224/Indeks!$C$40*Indeks!$C$2)/Indeks!H224*100</f>
        <v>0.6221039230278258</v>
      </c>
      <c r="D224" s="116">
        <f>(Indeks!D224/Indeks!$D$40*Indeks!$D$2)/Indeks!H224*100</f>
        <v>0.18099397373161119</v>
      </c>
      <c r="E224" s="116">
        <f>(Indeks!E224/Indeks!$E$40*Indeks!$E$2)/Indeks!H224*100</f>
        <v>7.9574389536756912E-2</v>
      </c>
      <c r="F224" s="116">
        <f>(Indeks!F224/Indeks!$F$40*Indeks!$F$2)/Indeks!H224*100</f>
        <v>8.6167709946358501E-2</v>
      </c>
      <c r="G224" s="116">
        <f>(Indeks!G224/Indeks!$G$40*Indeks!$G$2)/Indeks!H224*100</f>
        <v>3.1160003757447808E-2</v>
      </c>
      <c r="H224" s="116">
        <f t="shared" si="31"/>
        <v>1.0000000000000002</v>
      </c>
    </row>
    <row r="225" spans="1:27" ht="13.5" thickBot="1" x14ac:dyDescent="0.25">
      <c r="A225" s="38">
        <f t="shared" si="32"/>
        <v>2023</v>
      </c>
      <c r="B225" s="39" t="s">
        <v>13</v>
      </c>
      <c r="C225" s="93">
        <f>(Indeks!C225/Indeks!$C$40*Indeks!$C$2)/Indeks!H225*100</f>
        <v>0.62617396086836596</v>
      </c>
      <c r="D225" s="93">
        <f>(Indeks!D225/Indeks!$D$40*Indeks!$D$2)/Indeks!H225*100</f>
        <v>0.17507690257961778</v>
      </c>
      <c r="E225" s="93">
        <f>(Indeks!E225/Indeks!$E$40*Indeks!$E$2)/Indeks!H225*100</f>
        <v>8.0299841656230594E-2</v>
      </c>
      <c r="F225" s="93">
        <f>(Indeks!F225/Indeks!$F$40*Indeks!$F$2)/Indeks!H225*100</f>
        <v>8.6802022262699105E-2</v>
      </c>
      <c r="G225" s="93">
        <f>(Indeks!G225/Indeks!$G$40*Indeks!$G$2)/Indeks!H225*100</f>
        <v>3.1647272633086601E-2</v>
      </c>
      <c r="H225" s="93">
        <f t="shared" si="31"/>
        <v>1</v>
      </c>
    </row>
    <row r="226" spans="1:27" x14ac:dyDescent="0.2">
      <c r="A226" s="21">
        <f t="shared" si="32"/>
        <v>2023</v>
      </c>
      <c r="B226" s="26" t="s">
        <v>31</v>
      </c>
      <c r="C226" s="116">
        <f>(Indeks!C226/Indeks!$C$40*Indeks!$C$2)/Indeks!H226*100</f>
        <v>0.63485632827065086</v>
      </c>
      <c r="D226" s="116">
        <f>(Indeks!D226/Indeks!$D$40*Indeks!$D$2)/Indeks!H226*100</f>
        <v>0.16587059966084605</v>
      </c>
      <c r="E226" s="116">
        <f>(Indeks!E226/Indeks!$E$40*Indeks!$E$2)/Indeks!H226*100</f>
        <v>7.9560052603063827E-2</v>
      </c>
      <c r="F226" s="116">
        <f>(Indeks!F226/Indeks!$F$40*Indeks!$F$2)/Indeks!H226*100</f>
        <v>8.6975913688385476E-2</v>
      </c>
      <c r="G226" s="116">
        <f>(Indeks!G226/Indeks!$G$40*Indeks!$G$2)/Indeks!H226*100</f>
        <v>3.2737105777053882E-2</v>
      </c>
      <c r="H226" s="116">
        <f t="shared" si="31"/>
        <v>1</v>
      </c>
    </row>
    <row r="227" spans="1:27" x14ac:dyDescent="0.2">
      <c r="A227" s="12">
        <f t="shared" si="32"/>
        <v>2023</v>
      </c>
      <c r="B227" s="13" t="s">
        <v>14</v>
      </c>
      <c r="C227" s="116">
        <f>(Indeks!C227/Indeks!$C$40*Indeks!$C$2)/Indeks!H227*100</f>
        <v>0.63044489199321496</v>
      </c>
      <c r="D227" s="116">
        <f>(Indeks!D227/Indeks!$D$40*Indeks!$D$2)/Indeks!H227*100</f>
        <v>0.16871039538599392</v>
      </c>
      <c r="E227" s="116">
        <f>(Indeks!E227/Indeks!$E$40*Indeks!$E$2)/Indeks!H227*100</f>
        <v>7.9279651062104203E-2</v>
      </c>
      <c r="F227" s="116">
        <f>(Indeks!F227/Indeks!$F$40*Indeks!$F$2)/Indeks!H227*100</f>
        <v>8.6793897504352846E-2</v>
      </c>
      <c r="G227" s="116">
        <f>(Indeks!G227/Indeks!$G$40*Indeks!$G$2)/Indeks!H227*100</f>
        <v>3.4771164054334294E-2</v>
      </c>
      <c r="H227" s="116">
        <f t="shared" si="31"/>
        <v>1.0000000000000002</v>
      </c>
    </row>
    <row r="228" spans="1:27" x14ac:dyDescent="0.2">
      <c r="A228" s="63">
        <f t="shared" si="32"/>
        <v>2023</v>
      </c>
      <c r="B228" s="64" t="s">
        <v>15</v>
      </c>
      <c r="C228" s="117">
        <f>(Indeks!C228/Indeks!$C$40*Indeks!$C$2)/Indeks!H228*100</f>
        <v>0.62795820565112281</v>
      </c>
      <c r="D228" s="117">
        <f>(Indeks!D228/Indeks!$D$40*Indeks!$D$2)/Indeks!H228*100</f>
        <v>0.16984084511264871</v>
      </c>
      <c r="E228" s="117">
        <f>(Indeks!E228/Indeks!$E$40*Indeks!$E$2)/Indeks!H228*100</f>
        <v>8.0391606885988384E-2</v>
      </c>
      <c r="F228" s="117">
        <f>(Indeks!F228/Indeks!$F$40*Indeks!$F$2)/Indeks!H228*100</f>
        <v>8.7363045680231885E-2</v>
      </c>
      <c r="G228" s="117">
        <f>(Indeks!G228/Indeks!$G$40*Indeks!$G$2)/Indeks!H228*100</f>
        <v>3.4446296670008571E-2</v>
      </c>
      <c r="H228" s="117">
        <f t="shared" si="31"/>
        <v>1.0000000000000004</v>
      </c>
    </row>
    <row r="229" spans="1:27" x14ac:dyDescent="0.2">
      <c r="A229" s="32">
        <f t="shared" si="32"/>
        <v>2023</v>
      </c>
      <c r="B229" s="67" t="s">
        <v>16</v>
      </c>
      <c r="C229" s="116">
        <f>(Indeks!C229/Indeks!$C$40*Indeks!$C$2)/Indeks!H229*100</f>
        <v>0.61967597085398851</v>
      </c>
      <c r="D229" s="116">
        <f>(Indeks!D229/Indeks!$D$40*Indeks!$D$2)/Indeks!H229*100</f>
        <v>0.18258210743949219</v>
      </c>
      <c r="E229" s="116">
        <f>(Indeks!E229/Indeks!$E$40*Indeks!$E$2)/Indeks!H229*100</f>
        <v>7.8379931267022779E-2</v>
      </c>
      <c r="F229" s="116">
        <f>(Indeks!F229/Indeks!$F$40*Indeks!$F$2)/Indeks!H229*100</f>
        <v>8.5549388333339207E-2</v>
      </c>
      <c r="G229" s="116">
        <f>(Indeks!G229/Indeks!$G$40*Indeks!$G$2)/Indeks!H229*100</f>
        <v>3.3812602106157406E-2</v>
      </c>
      <c r="H229" s="116">
        <f t="shared" si="31"/>
        <v>1.0000000000000002</v>
      </c>
      <c r="W229" s="67"/>
      <c r="X229" s="67"/>
      <c r="Y229" s="67"/>
      <c r="Z229" s="67"/>
      <c r="AA229" s="67"/>
    </row>
    <row r="230" spans="1:27" x14ac:dyDescent="0.2">
      <c r="A230" s="32">
        <f t="shared" si="32"/>
        <v>2023</v>
      </c>
      <c r="B230" s="67" t="s">
        <v>17</v>
      </c>
      <c r="C230" s="116">
        <f>(Indeks!C230/Indeks!$C$40*Indeks!$C$2)/Indeks!H230*100</f>
        <v>0.61502802500978904</v>
      </c>
      <c r="D230" s="116">
        <f>(Indeks!D230/Indeks!$D$40*Indeks!$D$2)/Indeks!H230*100</f>
        <v>0.18783626492249109</v>
      </c>
      <c r="E230" s="116">
        <f>(Indeks!E230/Indeks!$E$40*Indeks!$E$2)/Indeks!H230*100</f>
        <v>7.7593753755042849E-2</v>
      </c>
      <c r="F230" s="116">
        <f>(Indeks!F230/Indeks!$F$40*Indeks!$F$2)/Indeks!H230*100</f>
        <v>8.4702789898882525E-2</v>
      </c>
      <c r="G230" s="116">
        <f>(Indeks!G230/Indeks!$G$40*Indeks!$G$2)/Indeks!H230*100</f>
        <v>3.4839166413794337E-2</v>
      </c>
      <c r="H230" s="116">
        <f t="shared" si="31"/>
        <v>0.99999999999999978</v>
      </c>
    </row>
    <row r="231" spans="1:27" ht="13.5" thickBot="1" x14ac:dyDescent="0.25">
      <c r="A231" s="72">
        <f t="shared" si="32"/>
        <v>2023</v>
      </c>
      <c r="B231" s="73" t="s">
        <v>18</v>
      </c>
      <c r="C231" s="93">
        <f>(Indeks!C231/Indeks!$C$40*Indeks!$C$2)/Indeks!H231*100</f>
        <v>0.61588662927517845</v>
      </c>
      <c r="D231" s="93">
        <f>(Indeks!D231/Indeks!$D$40*Indeks!$D$2)/Indeks!H231*100</f>
        <v>0.18684700505420751</v>
      </c>
      <c r="E231" s="93">
        <f>(Indeks!E231/Indeks!$E$40*Indeks!$E$2)/Indeks!H231*100</f>
        <v>7.7900635076006863E-2</v>
      </c>
      <c r="F231" s="93">
        <f>(Indeks!F231/Indeks!$F$40*Indeks!$F$2)/Indeks!H231*100</f>
        <v>8.4752634392978157E-2</v>
      </c>
      <c r="G231" s="93">
        <f>(Indeks!G231/Indeks!$G$40*Indeks!$G$2)/Indeks!H231*100</f>
        <v>3.461309620162914E-2</v>
      </c>
      <c r="H231" s="93">
        <f t="shared" si="31"/>
        <v>1.0000000000000002</v>
      </c>
    </row>
    <row r="232" spans="1:27" x14ac:dyDescent="0.2">
      <c r="A232" s="8">
        <v>2024</v>
      </c>
      <c r="B232" s="67" t="s">
        <v>8</v>
      </c>
      <c r="C232" s="116">
        <f>(Indeks!C232/Indeks!$C$40*Indeks!$C$2)/Indeks!H232*100</f>
        <v>0.62811599697082376</v>
      </c>
      <c r="D232" s="116">
        <f>(Indeks!D232/Indeks!$D$40*Indeks!$D$2)/Indeks!H232*100</f>
        <v>0.17622333040318719</v>
      </c>
      <c r="E232" s="116">
        <f>(Indeks!E232/Indeks!$E$40*Indeks!$E$2)/Indeks!H232*100</f>
        <v>7.8197424140000846E-2</v>
      </c>
      <c r="F232" s="116">
        <f>(Indeks!F232/Indeks!$F$40*Indeks!$F$2)/Indeks!H232*100</f>
        <v>8.5090045826576644E-2</v>
      </c>
      <c r="G232" s="116">
        <f>(Indeks!G232/Indeks!$G$40*Indeks!$G$2)/Indeks!H232*100</f>
        <v>3.2373202659411557E-2</v>
      </c>
      <c r="H232" s="116">
        <f t="shared" ref="H232:H243" si="33">SUM(C232:G232)</f>
        <v>1</v>
      </c>
    </row>
    <row r="233" spans="1:27" x14ac:dyDescent="0.2">
      <c r="A233" s="12">
        <f>A232</f>
        <v>2024</v>
      </c>
      <c r="B233" s="13" t="s">
        <v>9</v>
      </c>
      <c r="C233" s="116">
        <f>(Indeks!C233/Indeks!$C$40*Indeks!$C$2)/Indeks!H233*100</f>
        <v>0.63430558848164298</v>
      </c>
      <c r="D233" s="116">
        <f>(Indeks!D233/Indeks!$D$40*Indeks!$D$2)/Indeks!H233*100</f>
        <v>0.17172236709873218</v>
      </c>
      <c r="E233" s="116">
        <f>(Indeks!E233/Indeks!$E$40*Indeks!$E$2)/Indeks!H233*100</f>
        <v>7.8564070166845495E-2</v>
      </c>
      <c r="F233" s="116">
        <f>(Indeks!F233/Indeks!$F$40*Indeks!$F$2)/Indeks!H233*100</f>
        <v>8.5789386093467729E-2</v>
      </c>
      <c r="G233" s="116">
        <f>(Indeks!G233/Indeks!$G$40*Indeks!$G$2)/Indeks!H233*100</f>
        <v>2.9618588159311444E-2</v>
      </c>
      <c r="H233" s="116">
        <f t="shared" si="33"/>
        <v>0.99999999999999978</v>
      </c>
    </row>
    <row r="234" spans="1:27" x14ac:dyDescent="0.2">
      <c r="A234" s="16">
        <f t="shared" ref="A234:A243" si="34">A233</f>
        <v>2024</v>
      </c>
      <c r="B234" s="17" t="s">
        <v>10</v>
      </c>
      <c r="C234" s="117">
        <f>(Indeks!C234/Indeks!$C$40*Indeks!$C$2)/Indeks!H234*100</f>
        <v>0.62886128119976092</v>
      </c>
      <c r="D234" s="117">
        <f>(Indeks!D234/Indeks!$D$40*Indeks!$D$2)/Indeks!H234*100</f>
        <v>0.17832547807022445</v>
      </c>
      <c r="E234" s="117">
        <f>(Indeks!E234/Indeks!$E$40*Indeks!$E$2)/Indeks!H234*100</f>
        <v>7.8623926299706021E-2</v>
      </c>
      <c r="F234" s="117">
        <f>(Indeks!F234/Indeks!$F$40*Indeks!$F$2)/Indeks!H234*100</f>
        <v>8.4363241614086634E-2</v>
      </c>
      <c r="G234" s="117">
        <f>(Indeks!G234/Indeks!$G$40*Indeks!$G$2)/Indeks!H234*100</f>
        <v>2.9826072816221998E-2</v>
      </c>
      <c r="H234" s="117">
        <f t="shared" si="33"/>
        <v>1</v>
      </c>
    </row>
    <row r="235" spans="1:27" x14ac:dyDescent="0.2">
      <c r="A235" s="21">
        <f t="shared" si="34"/>
        <v>2024</v>
      </c>
      <c r="B235" s="22" t="s">
        <v>11</v>
      </c>
      <c r="C235" s="116">
        <f>(Indeks!C235/Indeks!$C$40*Indeks!$C$2)/Indeks!H235*100</f>
        <v>0.6256603004555219</v>
      </c>
      <c r="D235" s="116">
        <f>(Indeks!D235/Indeks!$D$40*Indeks!$D$2)/Indeks!H235*100</f>
        <v>0.18215316740532417</v>
      </c>
      <c r="E235" s="116">
        <f>(Indeks!E235/Indeks!$E$40*Indeks!$E$2)/Indeks!H235*100</f>
        <v>7.7961880454020638E-2</v>
      </c>
      <c r="F235" s="116">
        <f>(Indeks!F235/Indeks!$F$40*Indeks!$F$2)/Indeks!H235*100</f>
        <v>8.3433111132443921E-2</v>
      </c>
      <c r="G235" s="116">
        <f>(Indeks!G235/Indeks!$G$40*Indeks!$G$2)/Indeks!H235*100</f>
        <v>3.0791540552689237E-2</v>
      </c>
      <c r="H235" s="116">
        <f t="shared" si="33"/>
        <v>0.99999999999999989</v>
      </c>
    </row>
    <row r="236" spans="1:27" x14ac:dyDescent="0.2">
      <c r="A236" s="12">
        <f t="shared" si="34"/>
        <v>2024</v>
      </c>
      <c r="B236" s="13" t="s">
        <v>12</v>
      </c>
      <c r="C236" s="116">
        <f>(Indeks!C236/Indeks!$C$40*Indeks!$C$2)/Indeks!H236*100</f>
        <v>0.63016819810292801</v>
      </c>
      <c r="D236" s="116">
        <f>(Indeks!D236/Indeks!$D$40*Indeks!$D$2)/Indeks!H236*100</f>
        <v>0.17644297925712352</v>
      </c>
      <c r="E236" s="116">
        <f>(Indeks!E236/Indeks!$E$40*Indeks!$E$2)/Indeks!H236*100</f>
        <v>7.8523597694558606E-2</v>
      </c>
      <c r="F236" s="116">
        <f>(Indeks!F236/Indeks!$F$40*Indeks!$F$2)/Indeks!H236*100</f>
        <v>8.3760074991229061E-2</v>
      </c>
      <c r="G236" s="116">
        <f>(Indeks!G236/Indeks!$G$40*Indeks!$G$2)/Indeks!H236*100</f>
        <v>3.1105149954160714E-2</v>
      </c>
      <c r="H236" s="116">
        <f t="shared" si="33"/>
        <v>0.99999999999999989</v>
      </c>
    </row>
    <row r="237" spans="1:27" ht="13.5" thickBot="1" x14ac:dyDescent="0.25">
      <c r="A237" s="38">
        <f t="shared" si="34"/>
        <v>2024</v>
      </c>
      <c r="B237" s="39" t="s">
        <v>13</v>
      </c>
      <c r="C237" s="93">
        <f>(Indeks!C237/Indeks!$C$40*Indeks!$C$2)/Indeks!H237*100</f>
        <v>0.62857682279133043</v>
      </c>
      <c r="D237" s="93">
        <f>(Indeks!D237/Indeks!$D$40*Indeks!$D$2)/Indeks!H237*100</f>
        <v>0.17774862252048798</v>
      </c>
      <c r="E237" s="93">
        <f>(Indeks!E237/Indeks!$E$40*Indeks!$E$2)/Indeks!H237*100</f>
        <v>7.8391453738241246E-2</v>
      </c>
      <c r="F237" s="93">
        <f>(Indeks!F237/Indeks!$F$40*Indeks!$F$2)/Indeks!H237*100</f>
        <v>8.3890405831715406E-2</v>
      </c>
      <c r="G237" s="93">
        <f>(Indeks!G237/Indeks!$G$40*Indeks!$G$2)/Indeks!H237*100</f>
        <v>3.1392695118225025E-2</v>
      </c>
      <c r="H237" s="93">
        <f t="shared" si="33"/>
        <v>1</v>
      </c>
    </row>
    <row r="238" spans="1:27" x14ac:dyDescent="0.2">
      <c r="A238" s="12">
        <f t="shared" si="34"/>
        <v>2024</v>
      </c>
      <c r="B238" s="86" t="s">
        <v>31</v>
      </c>
      <c r="C238" s="116">
        <f>(Indeks!C238/Indeks!$C$40*Indeks!$C$2)/Indeks!H238*100</f>
        <v>0.632169380129327</v>
      </c>
      <c r="D238" s="116">
        <f>(Indeks!D238/Indeks!$D$40*Indeks!$D$2)/Indeks!H238*100</f>
        <v>0.173782655252114</v>
      </c>
      <c r="E238" s="116">
        <f>(Indeks!E238/Indeks!$E$40*Indeks!$E$2)/Indeks!H238*100</f>
        <v>7.8182916050229298E-2</v>
      </c>
      <c r="F238" s="116">
        <f>(Indeks!F238/Indeks!$F$40*Indeks!$F$2)/Indeks!H238*100</f>
        <v>8.4008182076629467E-2</v>
      </c>
      <c r="G238" s="116">
        <f>(Indeks!G238/Indeks!$G$40*Indeks!$G$2)/Indeks!H238*100</f>
        <v>3.1856866491700296E-2</v>
      </c>
      <c r="H238" s="116">
        <f t="shared" si="33"/>
        <v>1</v>
      </c>
    </row>
    <row r="239" spans="1:27" x14ac:dyDescent="0.2">
      <c r="A239" s="12">
        <f t="shared" si="34"/>
        <v>2024</v>
      </c>
      <c r="B239" s="13" t="s">
        <v>14</v>
      </c>
      <c r="C239" s="116">
        <f>(Indeks!C239/Indeks!$C$40*Indeks!$C$2)/Indeks!H239*100</f>
        <v>0.63261016362107714</v>
      </c>
      <c r="D239" s="116">
        <f>(Indeks!D239/Indeks!$D$40*Indeks!$D$2)/Indeks!H239*100</f>
        <v>0.17402866736559169</v>
      </c>
      <c r="E239" s="116">
        <f>(Indeks!E239/Indeks!$E$40*Indeks!$E$2)/Indeks!H239*100</f>
        <v>7.8237429507880124E-2</v>
      </c>
      <c r="F239" s="116">
        <f>(Indeks!F239/Indeks!$F$40*Indeks!$F$2)/Indeks!H239*100</f>
        <v>8.4066757232268516E-2</v>
      </c>
      <c r="G239" s="116">
        <f>(Indeks!G239/Indeks!$G$40*Indeks!$G$2)/Indeks!H239*100</f>
        <v>3.105698227318273E-2</v>
      </c>
      <c r="H239" s="116">
        <f t="shared" si="33"/>
        <v>1.0000000000000002</v>
      </c>
    </row>
    <row r="240" spans="1:27" x14ac:dyDescent="0.2">
      <c r="A240" s="63">
        <f t="shared" si="34"/>
        <v>2024</v>
      </c>
      <c r="B240" s="64" t="s">
        <v>15</v>
      </c>
      <c r="C240" s="117">
        <f>(Indeks!C240/Indeks!$C$40*Indeks!$C$2)/Indeks!H240*100</f>
        <v>0.63076113580570092</v>
      </c>
      <c r="D240" s="117">
        <f>(Indeks!D240/Indeks!$D$40*Indeks!$D$2)/Indeks!H240*100</f>
        <v>0.17800115474692005</v>
      </c>
      <c r="E240" s="117">
        <f>(Indeks!E240/Indeks!$E$40*Indeks!$E$2)/Indeks!H240*100</f>
        <v>7.8864545066719763E-2</v>
      </c>
      <c r="F240" s="117">
        <f>(Indeks!F240/Indeks!$F$40*Indeks!$F$2)/Indeks!H240*100</f>
        <v>8.3957115406423338E-2</v>
      </c>
      <c r="G240" s="117">
        <f>(Indeks!G240/Indeks!$G$40*Indeks!$G$2)/Indeks!H240*100</f>
        <v>2.8416048974236038E-2</v>
      </c>
      <c r="H240" s="117">
        <f t="shared" si="33"/>
        <v>1.0000000000000002</v>
      </c>
    </row>
    <row r="241" spans="1:8" x14ac:dyDescent="0.2">
      <c r="A241" s="32">
        <f t="shared" si="34"/>
        <v>2024</v>
      </c>
      <c r="B241" s="67" t="s">
        <v>16</v>
      </c>
      <c r="C241" s="116">
        <f>(Indeks!C241/Indeks!$C$40*Indeks!$C$2)/Indeks!H241*100</f>
        <v>0.64070184792345863</v>
      </c>
      <c r="D241" s="116">
        <f>(Indeks!D241/Indeks!$D$40*Indeks!$D$2)/Indeks!H241*100</f>
        <v>0.16929833774159633</v>
      </c>
      <c r="E241" s="116">
        <f>(Indeks!E241/Indeks!$E$40*Indeks!$E$2)/Indeks!H241*100</f>
        <v>7.8367408220740897E-2</v>
      </c>
      <c r="F241" s="116">
        <f>(Indeks!F241/Indeks!$F$40*Indeks!$F$2)/Indeks!H241*100</f>
        <v>8.3913314501070355E-2</v>
      </c>
      <c r="G241" s="116">
        <f>(Indeks!G241/Indeks!$G$40*Indeks!$G$2)/Indeks!H241*100</f>
        <v>2.7719091613133896E-2</v>
      </c>
      <c r="H241" s="116">
        <f t="shared" si="33"/>
        <v>1</v>
      </c>
    </row>
    <row r="242" spans="1:8" x14ac:dyDescent="0.2">
      <c r="A242" s="32">
        <f t="shared" si="34"/>
        <v>2024</v>
      </c>
      <c r="B242" s="67" t="s">
        <v>17</v>
      </c>
      <c r="C242" s="116">
        <f>(Indeks!C242/Indeks!$C$40*Indeks!$C$2)/Indeks!H242*100</f>
        <v>0.64717211648022921</v>
      </c>
      <c r="D242" s="116">
        <f>(Indeks!D242/Indeks!$D$40*Indeks!$D$2)/Indeks!H242*100</f>
        <v>0.16335470329540083</v>
      </c>
      <c r="E242" s="116">
        <f>(Indeks!E242/Indeks!$E$40*Indeks!$E$2)/Indeks!H242*100</f>
        <v>7.8893407772694074E-2</v>
      </c>
      <c r="F242" s="116">
        <f>(Indeks!F242/Indeks!$F$40*Indeks!$F$2)/Indeks!H242*100</f>
        <v>8.4692154923661278E-2</v>
      </c>
      <c r="G242" s="116">
        <f>(Indeks!G242/Indeks!$G$40*Indeks!$G$2)/Indeks!H242*100</f>
        <v>2.5887617528014766E-2</v>
      </c>
      <c r="H242" s="116">
        <f t="shared" si="33"/>
        <v>1</v>
      </c>
    </row>
    <row r="243" spans="1:8" ht="13.5" thickBot="1" x14ac:dyDescent="0.25">
      <c r="A243" s="72">
        <f t="shared" si="34"/>
        <v>2024</v>
      </c>
      <c r="B243" s="73" t="s">
        <v>18</v>
      </c>
      <c r="C243" s="93">
        <f>(Indeks!C243/Indeks!$C$40*Indeks!$C$2)/Indeks!H243*100</f>
        <v>0.64391826814812736</v>
      </c>
      <c r="D243" s="93">
        <f>(Indeks!D243/Indeks!$D$40*Indeks!$D$2)/Indeks!H243*100</f>
        <v>0.16677773293865841</v>
      </c>
      <c r="E243" s="93">
        <f>(Indeks!E243/Indeks!$E$40*Indeks!$E$2)/Indeks!H243*100</f>
        <v>7.8958881864189631E-2</v>
      </c>
      <c r="F243" s="93">
        <f>(Indeks!F243/Indeks!$F$40*Indeks!$F$2)/Indeks!H243*100</f>
        <v>8.38569490564538E-2</v>
      </c>
      <c r="G243" s="93">
        <f>(Indeks!G243/Indeks!$G$40*Indeks!$G$2)/Indeks!H243*100</f>
        <v>2.6488167992570706E-2</v>
      </c>
      <c r="H243" s="93">
        <f t="shared" si="33"/>
        <v>0.99999999999999989</v>
      </c>
    </row>
    <row r="244" spans="1:8" x14ac:dyDescent="0.2">
      <c r="A244" s="8">
        <v>2025</v>
      </c>
      <c r="B244" s="67" t="s">
        <v>8</v>
      </c>
      <c r="C244" s="116">
        <f>(Indeks!C244/Indeks!$C$40*Indeks!$C$2)/Indeks!H244*100</f>
        <v>0.64496703130684008</v>
      </c>
      <c r="D244" s="116">
        <f>(Indeks!D244/Indeks!$D$40*Indeks!$D$2)/Indeks!H244*100</f>
        <v>0.16828946734579092</v>
      </c>
      <c r="E244" s="116">
        <f>(Indeks!E244/Indeks!$E$40*Indeks!$E$2)/Indeks!H244*100</f>
        <v>7.8526464445581867E-2</v>
      </c>
      <c r="F244" s="116">
        <f>(Indeks!F244/Indeks!$F$40*Indeks!$F$2)/Indeks!H244*100</f>
        <v>8.3881823193535765E-2</v>
      </c>
      <c r="G244" s="116">
        <f>(Indeks!G244/Indeks!$G$40*Indeks!$G$2)/Indeks!H244*100</f>
        <v>2.4335213708251306E-2</v>
      </c>
      <c r="H244" s="116">
        <f t="shared" ref="H244:H255" si="35">SUM(C244:G244)</f>
        <v>0.99999999999999989</v>
      </c>
    </row>
    <row r="245" spans="1:8" x14ac:dyDescent="0.2">
      <c r="A245" s="12">
        <f>A244</f>
        <v>2025</v>
      </c>
      <c r="B245" s="13" t="s">
        <v>9</v>
      </c>
      <c r="C245" s="116">
        <f>(Indeks!C245/Indeks!$C$40*Indeks!$C$2)/Indeks!H245*100</f>
        <v>0.64288263242584842</v>
      </c>
      <c r="D245" s="116">
        <f>(Indeks!D245/Indeks!$D$40*Indeks!$D$2)/Indeks!H245*100</f>
        <v>0.16960805119744676</v>
      </c>
      <c r="E245" s="116">
        <f>(Indeks!E245/Indeks!$E$40*Indeks!$E$2)/Indeks!H245*100</f>
        <v>7.8075688287749329E-2</v>
      </c>
      <c r="F245" s="116">
        <f>(Indeks!F245/Indeks!$F$40*Indeks!$F$2)/Indeks!H245*100</f>
        <v>8.3814332209974335E-2</v>
      </c>
      <c r="G245" s="116">
        <f>(Indeks!G245/Indeks!$G$40*Indeks!$G$2)/Indeks!H245*100</f>
        <v>2.5619295878981097E-2</v>
      </c>
      <c r="H245" s="116">
        <f t="shared" si="35"/>
        <v>1</v>
      </c>
    </row>
    <row r="246" spans="1:8" x14ac:dyDescent="0.2">
      <c r="A246" s="16">
        <f t="shared" ref="A246:A255" si="36">A245</f>
        <v>2025</v>
      </c>
      <c r="B246" s="17" t="s">
        <v>10</v>
      </c>
      <c r="C246" s="117">
        <f>(Indeks!C246/Indeks!$C$40*Indeks!$C$2)/Indeks!H246*100</f>
        <v>0.63182398218763502</v>
      </c>
      <c r="D246" s="117">
        <f>(Indeks!D246/Indeks!$D$40*Indeks!$D$2)/Indeks!H246*100</f>
        <v>0.18475068316138932</v>
      </c>
      <c r="E246" s="117">
        <f>(Indeks!E246/Indeks!$E$40*Indeks!$E$2)/Indeks!H246*100</f>
        <v>7.7184404816678015E-2</v>
      </c>
      <c r="F246" s="117">
        <f>(Indeks!F246/Indeks!$F$40*Indeks!$F$2)/Indeks!H246*100</f>
        <v>8.1865900828035409E-2</v>
      </c>
      <c r="G246" s="117">
        <f>(Indeks!G246/Indeks!$G$40*Indeks!$G$2)/Indeks!H246*100</f>
        <v>2.4375029006262018E-2</v>
      </c>
      <c r="H246" s="117">
        <f t="shared" si="35"/>
        <v>0.99999999999999967</v>
      </c>
    </row>
    <row r="247" spans="1:8" x14ac:dyDescent="0.2">
      <c r="A247" s="21">
        <f t="shared" si="36"/>
        <v>2025</v>
      </c>
      <c r="B247" s="22" t="s">
        <v>11</v>
      </c>
      <c r="C247" s="116">
        <f>(Indeks!C247/Indeks!$C$40*Indeks!$C$2)/Indeks!H247*100</f>
        <v>0.63477101425006244</v>
      </c>
      <c r="D247" s="116">
        <f>(Indeks!D247/Indeks!$D$40*Indeks!$D$2)/Indeks!H247*100</f>
        <v>0.18228806295468244</v>
      </c>
      <c r="E247" s="116">
        <f>(Indeks!E247/Indeks!$E$40*Indeks!$E$2)/Indeks!H247*100</f>
        <v>7.7637601023103464E-2</v>
      </c>
      <c r="F247" s="116">
        <f>(Indeks!F247/Indeks!$F$40*Indeks!$F$2)/Indeks!H247*100</f>
        <v>8.138440171528287E-2</v>
      </c>
      <c r="G247" s="116">
        <f>(Indeks!G247/Indeks!$G$40*Indeks!$G$2)/Indeks!H247*100</f>
        <v>2.3918920056868569E-2</v>
      </c>
      <c r="H247" s="116">
        <f t="shared" si="35"/>
        <v>0.99999999999999978</v>
      </c>
    </row>
    <row r="248" spans="1:8" x14ac:dyDescent="0.2">
      <c r="A248" s="12">
        <f t="shared" si="36"/>
        <v>2025</v>
      </c>
      <c r="B248" s="13" t="s">
        <v>12</v>
      </c>
      <c r="C248" s="116">
        <f>(Indeks!C248/Indeks!$C$40*Indeks!$C$2)/Indeks!H248*100</f>
        <v>0.63797893877909462</v>
      </c>
      <c r="D248" s="116">
        <f>(Indeks!D248/Indeks!$D$40*Indeks!$D$2)/Indeks!H248*100</f>
        <v>0.17807942700519752</v>
      </c>
      <c r="E248" s="116">
        <f>(Indeks!E248/Indeks!$E$40*Indeks!$E$2)/Indeks!H248*100</f>
        <v>7.7642389990346727E-2</v>
      </c>
      <c r="F248" s="116">
        <f>(Indeks!F248/Indeks!$F$40*Indeks!$F$2)/Indeks!H248*100</f>
        <v>8.1723242108325725E-2</v>
      </c>
      <c r="G248" s="116">
        <f>(Indeks!G248/Indeks!$G$40*Indeks!$G$2)/Indeks!H248*100</f>
        <v>2.457600211703519E-2</v>
      </c>
      <c r="H248" s="116">
        <f t="shared" si="35"/>
        <v>0.99999999999999967</v>
      </c>
    </row>
    <row r="249" spans="1:8" ht="13.5" thickBot="1" x14ac:dyDescent="0.25">
      <c r="A249" s="16">
        <f t="shared" si="36"/>
        <v>2025</v>
      </c>
      <c r="B249" s="17" t="s">
        <v>13</v>
      </c>
      <c r="C249" s="93">
        <f>(Indeks!C249/Indeks!$C$40*Indeks!$C$2)/Indeks!H249*100</f>
        <v>0.64182309296985396</v>
      </c>
      <c r="D249" s="93">
        <f>(Indeks!D249/Indeks!$D$40*Indeks!$D$2)/Indeks!H249*100</f>
        <v>0.17300867403291445</v>
      </c>
      <c r="E249" s="93">
        <f>(Indeks!E249/Indeks!$E$40*Indeks!$E$2)/Indeks!H249*100</f>
        <v>7.8175209232040813E-2</v>
      </c>
      <c r="F249" s="93">
        <f>(Indeks!F249/Indeks!$F$40*Indeks!$F$2)/Indeks!H249*100</f>
        <v>8.3527619186826885E-2</v>
      </c>
      <c r="G249" s="93">
        <f>(Indeks!G249/Indeks!$G$40*Indeks!$G$2)/Indeks!H249*100</f>
        <v>2.3465404578363543E-2</v>
      </c>
      <c r="H249" s="93">
        <f t="shared" si="35"/>
        <v>0.99999999999999956</v>
      </c>
    </row>
    <row r="250" spans="1:8" x14ac:dyDescent="0.2">
      <c r="A250" s="21">
        <f t="shared" si="36"/>
        <v>2025</v>
      </c>
      <c r="B250" s="26" t="s">
        <v>31</v>
      </c>
      <c r="C250" s="116">
        <f>(Indeks!C250/Indeks!$C$40*Indeks!$C$2)/Indeks!H250*100</f>
        <v>0.64402119543468705</v>
      </c>
      <c r="D250" s="116">
        <f>(Indeks!D250/Indeks!$D$40*Indeks!$D$2)/Indeks!H250*100</f>
        <v>0.17008934487913763</v>
      </c>
      <c r="E250" s="116">
        <f>(Indeks!E250/Indeks!$E$40*Indeks!$E$2)/Indeks!H250*100</f>
        <v>7.8197347906281828E-2</v>
      </c>
      <c r="F250" s="116">
        <f>(Indeks!F250/Indeks!$F$40*Indeks!$F$2)/Indeks!H250*100</f>
        <v>8.3700417830664481E-2</v>
      </c>
      <c r="G250" s="116">
        <f>(Indeks!G250/Indeks!$G$40*Indeks!$G$2)/Indeks!H250*100</f>
        <v>2.3991693949229037E-2</v>
      </c>
      <c r="H250" s="116">
        <f t="shared" si="35"/>
        <v>1</v>
      </c>
    </row>
    <row r="251" spans="1:8" x14ac:dyDescent="0.2">
      <c r="A251" s="12">
        <f t="shared" si="36"/>
        <v>2025</v>
      </c>
      <c r="B251" s="13" t="s">
        <v>14</v>
      </c>
      <c r="C251" s="108">
        <f>(Indeks!C251/Indeks!$C$40*Indeks!$C$2)/Indeks!H251*100</f>
        <v>0.64396888146793241</v>
      </c>
      <c r="D251" s="108">
        <f>(Indeks!D251/Indeks!$D$40*Indeks!$D$2)/Indeks!H251*100</f>
        <v>0.17007552848862686</v>
      </c>
      <c r="E251" s="108">
        <f>(Indeks!E251/Indeks!$E$40*Indeks!$E$2)/Indeks!H251*100</f>
        <v>7.8268444890389796E-2</v>
      </c>
      <c r="F251" s="108">
        <f>(Indeks!F251/Indeks!$F$40*Indeks!$F$2)/Indeks!H251*100</f>
        <v>8.3697400053779847E-2</v>
      </c>
      <c r="G251" s="108">
        <f>(Indeks!G251/Indeks!$G$40*Indeks!$G$2)/Indeks!H251*100</f>
        <v>2.3989745099271081E-2</v>
      </c>
      <c r="H251" s="108">
        <f t="shared" si="35"/>
        <v>0.99999999999999989</v>
      </c>
    </row>
    <row r="252" spans="1:8" x14ac:dyDescent="0.2">
      <c r="A252" s="63">
        <f t="shared" si="36"/>
        <v>2025</v>
      </c>
      <c r="B252" s="64" t="s">
        <v>15</v>
      </c>
      <c r="C252" s="111">
        <f>(Indeks!C252/Indeks!$C$40*Indeks!$C$2)/Indeks!H252*100</f>
        <v>0.64391652649605047</v>
      </c>
      <c r="D252" s="111">
        <f>(Indeks!D252/Indeks!$D$40*Indeks!$D$2)/Indeks!H252*100</f>
        <v>0.17006170126844891</v>
      </c>
      <c r="E252" s="111">
        <f>(Indeks!E252/Indeks!$E$40*Indeks!$E$2)/Indeks!H252*100</f>
        <v>7.833960101011006E-2</v>
      </c>
      <c r="F252" s="111">
        <f>(Indeks!F252/Indeks!$F$40*Indeks!$F$2)/Indeks!H252*100</f>
        <v>8.36943765036397E-2</v>
      </c>
      <c r="G252" s="111">
        <f>(Indeks!G252/Indeks!$G$40*Indeks!$G$2)/Indeks!H252*100</f>
        <v>2.3987794721750874E-2</v>
      </c>
      <c r="H252" s="111">
        <f t="shared" si="35"/>
        <v>1</v>
      </c>
    </row>
    <row r="253" spans="1:8" x14ac:dyDescent="0.2">
      <c r="A253" s="32">
        <f t="shared" si="36"/>
        <v>2025</v>
      </c>
      <c r="B253" s="67" t="s">
        <v>16</v>
      </c>
      <c r="C253" s="112">
        <f>(Indeks!C253/Indeks!$C$40*Indeks!$C$2)/Indeks!H253*100</f>
        <v>0.64607645264880664</v>
      </c>
      <c r="D253" s="112">
        <f>(Indeks!D253/Indeks!$D$40*Indeks!$D$2)/Indeks!H253*100</f>
        <v>0.16899152295579165</v>
      </c>
      <c r="E253" s="112">
        <f>(Indeks!E253/Indeks!$E$40*Indeks!$E$2)/Indeks!H253*100</f>
        <v>7.7923726962942017E-2</v>
      </c>
      <c r="F253" s="112">
        <f>(Indeks!F253/Indeks!$F$40*Indeks!$F$2)/Indeks!H253*100</f>
        <v>8.3171455085571666E-2</v>
      </c>
      <c r="G253" s="112">
        <f>(Indeks!G253/Indeks!$G$40*Indeks!$G$2)/Indeks!H253*100</f>
        <v>2.3836842346888008E-2</v>
      </c>
      <c r="H253" s="112">
        <f t="shared" si="35"/>
        <v>1</v>
      </c>
    </row>
    <row r="254" spans="1:8" x14ac:dyDescent="0.2">
      <c r="A254" s="32">
        <f t="shared" si="36"/>
        <v>2025</v>
      </c>
      <c r="B254" s="67" t="s">
        <v>17</v>
      </c>
      <c r="C254" s="112">
        <f>(Indeks!C254/Indeks!$C$40*Indeks!$C$2)/Indeks!H254*100</f>
        <v>0.64602416224469572</v>
      </c>
      <c r="D254" s="112">
        <f>(Indeks!D254/Indeks!$D$40*Indeks!$D$2)/Indeks!H254*100</f>
        <v>0.16897784557288989</v>
      </c>
      <c r="E254" s="112">
        <f>(Indeks!E254/Indeks!$E$40*Indeks!$E$2)/Indeks!H254*100</f>
        <v>7.7994598171538004E-2</v>
      </c>
      <c r="F254" s="112">
        <f>(Indeks!F254/Indeks!$F$40*Indeks!$F$2)/Indeks!H254*100</f>
        <v>8.316848090643951E-2</v>
      </c>
      <c r="G254" s="112">
        <f>(Indeks!G254/Indeks!$G$40*Indeks!$G$2)/Indeks!H254*100</f>
        <v>2.3834913104437E-2</v>
      </c>
      <c r="H254" s="112">
        <f t="shared" si="35"/>
        <v>1</v>
      </c>
    </row>
    <row r="255" spans="1:8" x14ac:dyDescent="0.2">
      <c r="A255" s="32">
        <f t="shared" si="36"/>
        <v>2025</v>
      </c>
      <c r="B255" s="33" t="s">
        <v>18</v>
      </c>
      <c r="C255" s="108">
        <f>(Indeks!C255/Indeks!$C$40*Indeks!$C$2)/Indeks!H255*100</f>
        <v>0.64597183081684018</v>
      </c>
      <c r="D255" s="108">
        <f>(Indeks!D255/Indeks!$D$40*Indeks!$D$2)/Indeks!H255*100</f>
        <v>0.16896415745957838</v>
      </c>
      <c r="E255" s="108">
        <f>(Indeks!E255/Indeks!$E$40*Indeks!$E$2)/Indeks!H255*100</f>
        <v>7.806552836795326E-2</v>
      </c>
      <c r="F255" s="108">
        <f>(Indeks!F255/Indeks!$F$40*Indeks!$F$2)/Indeks!H255*100</f>
        <v>8.3165501007203879E-2</v>
      </c>
      <c r="G255" s="108">
        <f>(Indeks!G255/Indeks!$G$40*Indeks!$G$2)/Indeks!H255*100</f>
        <v>2.3832982348424354E-2</v>
      </c>
      <c r="H255" s="108">
        <f t="shared" si="35"/>
        <v>1</v>
      </c>
    </row>
    <row r="256" spans="1:8" x14ac:dyDescent="0.2">
      <c r="A256" s="8">
        <v>2026</v>
      </c>
      <c r="B256" s="67" t="s">
        <v>8</v>
      </c>
      <c r="C256" s="108">
        <f>(Indeks!C256/Indeks!$C$40*Indeks!$C$2)/Indeks!H256*100</f>
        <v>0.64786197419900038</v>
      </c>
      <c r="D256" s="108">
        <f>(Indeks!D256/Indeks!$D$40*Indeks!$D$2)/Indeks!H256*100</f>
        <v>0.16799180324497454</v>
      </c>
      <c r="E256" s="108">
        <f>(Indeks!E256/Indeks!$E$40*Indeks!$E$2)/Indeks!H256*100</f>
        <v>7.7714051511820439E-2</v>
      </c>
      <c r="F256" s="108">
        <f>(Indeks!F256/Indeks!$F$40*Indeks!$F$2)/Indeks!H256*100</f>
        <v>8.2736342641217375E-2</v>
      </c>
      <c r="G256" s="108">
        <f>(Indeks!G256/Indeks!$G$40*Indeks!$G$2)/Indeks!H256*100</f>
        <v>2.3695828402987059E-2</v>
      </c>
      <c r="H256" s="108">
        <f t="shared" ref="H256:H267" si="37">SUM(C256:G256)</f>
        <v>0.99999999999999967</v>
      </c>
    </row>
    <row r="257" spans="1:8" x14ac:dyDescent="0.2">
      <c r="A257" s="12">
        <f>A256</f>
        <v>2026</v>
      </c>
      <c r="B257" s="13" t="s">
        <v>9</v>
      </c>
      <c r="C257" s="108">
        <f>(Indeks!C257/Indeks!$C$40*Indeks!$C$2)/Indeks!H257*100</f>
        <v>0.64776651339777847</v>
      </c>
      <c r="D257" s="108">
        <f>(Indeks!D257/Indeks!$D$40*Indeks!$D$2)/Indeks!H257*100</f>
        <v>0.16796705008338281</v>
      </c>
      <c r="E257" s="108">
        <f>(Indeks!E257/Indeks!$E$40*Indeks!$E$2)/Indeks!H257*100</f>
        <v>7.7800483602711717E-2</v>
      </c>
      <c r="F257" s="108">
        <f>(Indeks!F257/Indeks!$F$40*Indeks!$F$2)/Indeks!H257*100</f>
        <v>8.2773616032715061E-2</v>
      </c>
      <c r="G257" s="108">
        <f>(Indeks!G257/Indeks!$G$40*Indeks!$G$2)/Indeks!H257*100</f>
        <v>2.3692336883411821E-2</v>
      </c>
      <c r="H257" s="108">
        <f t="shared" si="37"/>
        <v>0.99999999999999989</v>
      </c>
    </row>
    <row r="258" spans="1:8" x14ac:dyDescent="0.2">
      <c r="A258" s="16">
        <f t="shared" ref="A258:A267" si="38">A257</f>
        <v>2026</v>
      </c>
      <c r="B258" s="17" t="s">
        <v>10</v>
      </c>
      <c r="C258" s="108">
        <f>(Indeks!C258/Indeks!$C$40*Indeks!$C$2)/Indeks!H258*100</f>
        <v>0.64767098172185023</v>
      </c>
      <c r="D258" s="108">
        <f>(Indeks!D258/Indeks!$D$40*Indeks!$D$2)/Indeks!H258*100</f>
        <v>0.16794227854384922</v>
      </c>
      <c r="E258" s="108">
        <f>(Indeks!E258/Indeks!$E$40*Indeks!$E$2)/Indeks!H258*100</f>
        <v>7.7887001607024331E-2</v>
      </c>
      <c r="F258" s="108">
        <f>(Indeks!F258/Indeks!$F$40*Indeks!$F$2)/Indeks!H258*100</f>
        <v>8.2810895355712136E-2</v>
      </c>
      <c r="G258" s="108">
        <f>(Indeks!G258/Indeks!$G$40*Indeks!$G$2)/Indeks!H258*100</f>
        <v>2.3688842771563936E-2</v>
      </c>
      <c r="H258" s="108">
        <f t="shared" si="37"/>
        <v>0.99999999999999989</v>
      </c>
    </row>
    <row r="259" spans="1:8" x14ac:dyDescent="0.2">
      <c r="A259" s="21">
        <f t="shared" si="38"/>
        <v>2026</v>
      </c>
      <c r="B259" s="22" t="s">
        <v>11</v>
      </c>
      <c r="C259" s="110">
        <f>(Indeks!C259/Indeks!$C$40*Indeks!$C$2)/Indeks!H259*100</f>
        <v>0.64955679807153666</v>
      </c>
      <c r="D259" s="110">
        <f>(Indeks!D259/Indeks!$D$40*Indeks!$D$2)/Indeks!H259*100</f>
        <v>0.16697341470106694</v>
      </c>
      <c r="E259" s="110">
        <f>(Indeks!E259/Indeks!$E$40*Indeks!$E$2)/Indeks!H259*100</f>
        <v>7.7535218570589301E-2</v>
      </c>
      <c r="F259" s="110">
        <f>(Indeks!F259/Indeks!$F$40*Indeks!$F$2)/Indeks!H259*100</f>
        <v>8.2382387501589729E-2</v>
      </c>
      <c r="G259" s="110">
        <f>(Indeks!G259/Indeks!$G$40*Indeks!$G$2)/Indeks!H259*100</f>
        <v>2.3552181155217407E-2</v>
      </c>
      <c r="H259" s="110">
        <f t="shared" si="37"/>
        <v>1.0000000000000002</v>
      </c>
    </row>
    <row r="260" spans="1:8" x14ac:dyDescent="0.2">
      <c r="A260" s="12">
        <f t="shared" si="38"/>
        <v>2026</v>
      </c>
      <c r="B260" s="13" t="s">
        <v>12</v>
      </c>
      <c r="C260" s="108">
        <f>(Indeks!C260/Indeks!$C$40*Indeks!$C$2)/Indeks!H260*100</f>
        <v>0.64946137126554238</v>
      </c>
      <c r="D260" s="108">
        <f>(Indeks!D260/Indeks!$D$40*Indeks!$D$2)/Indeks!H260*100</f>
        <v>0.16694888452957438</v>
      </c>
      <c r="E260" s="108">
        <f>(Indeks!E260/Indeks!$E$40*Indeks!$E$2)/Indeks!H260*100</f>
        <v>7.7621485676543478E-2</v>
      </c>
      <c r="F260" s="108">
        <f>(Indeks!F260/Indeks!$F$40*Indeks!$F$2)/Indeks!H260*100</f>
        <v>8.2419537439168356E-2</v>
      </c>
      <c r="G260" s="108">
        <f>(Indeks!G260/Indeks!$G$40*Indeks!$G$2)/Indeks!H260*100</f>
        <v>2.3548721089171585E-2</v>
      </c>
      <c r="H260" s="108">
        <f t="shared" si="37"/>
        <v>1.0000000000000002</v>
      </c>
    </row>
    <row r="261" spans="1:8" x14ac:dyDescent="0.2">
      <c r="A261" s="16">
        <f t="shared" si="38"/>
        <v>2026</v>
      </c>
      <c r="B261" s="17" t="s">
        <v>13</v>
      </c>
      <c r="C261" s="109">
        <f>(Indeks!C261/Indeks!$C$40*Indeks!$C$2)/Indeks!H261*100</f>
        <v>0.64936587349870079</v>
      </c>
      <c r="D261" s="109">
        <f>(Indeks!D261/Indeks!$D$40*Indeks!$D$2)/Indeks!H261*100</f>
        <v>0.16692433611706725</v>
      </c>
      <c r="E261" s="109">
        <f>(Indeks!E261/Indeks!$E$40*Indeks!$E$2)/Indeks!H261*100</f>
        <v>7.7707838595530113E-2</v>
      </c>
      <c r="F261" s="109">
        <f>(Indeks!F261/Indeks!$F$40*Indeks!$F$2)/Indeks!H261*100</f>
        <v>8.2456693338534698E-2</v>
      </c>
      <c r="G261" s="109">
        <f>(Indeks!G261/Indeks!$G$40*Indeks!$G$2)/Indeks!H261*100</f>
        <v>2.3545258450167191E-2</v>
      </c>
      <c r="H261" s="109">
        <f t="shared" si="37"/>
        <v>1</v>
      </c>
    </row>
    <row r="262" spans="1:8" x14ac:dyDescent="0.2">
      <c r="A262" s="21">
        <f t="shared" si="38"/>
        <v>2026</v>
      </c>
      <c r="B262" s="26" t="s">
        <v>31</v>
      </c>
      <c r="C262" s="110">
        <f>(Indeks!C262/Indeks!$C$40*Indeks!$C$2)/Indeks!H262*100</f>
        <v>0.65124732639263239</v>
      </c>
      <c r="D262" s="110">
        <f>(Indeks!D262/Indeks!$D$40*Indeks!$D$2)/Indeks!H262*100</f>
        <v>0.16595897526552905</v>
      </c>
      <c r="E262" s="110">
        <f>(Indeks!E262/Indeks!$E$40*Indeks!$E$2)/Indeks!H262*100</f>
        <v>7.7355760284668215E-2</v>
      </c>
      <c r="F262" s="110">
        <f>(Indeks!F262/Indeks!$F$40*Indeks!$F$2)/Indeks!H262*100</f>
        <v>8.2028847114245504E-2</v>
      </c>
      <c r="G262" s="110">
        <f>(Indeks!G262/Indeks!$G$40*Indeks!$G$2)/Indeks!H262*100</f>
        <v>2.3409090942924867E-2</v>
      </c>
      <c r="H262" s="110">
        <f t="shared" si="37"/>
        <v>1</v>
      </c>
    </row>
    <row r="263" spans="1:8" x14ac:dyDescent="0.2">
      <c r="A263" s="12">
        <f t="shared" si="38"/>
        <v>2026</v>
      </c>
      <c r="B263" s="13" t="s">
        <v>14</v>
      </c>
      <c r="C263" s="108">
        <f>(Indeks!C263/Indeks!$C$40*Indeks!$C$2)/Indeks!H263*100</f>
        <v>0.65115193604329391</v>
      </c>
      <c r="D263" s="108">
        <f>(Indeks!D263/Indeks!$D$40*Indeks!$D$2)/Indeks!H263*100</f>
        <v>0.16593466670565499</v>
      </c>
      <c r="E263" s="108">
        <f>(Indeks!E263/Indeks!$E$40*Indeks!$E$2)/Indeks!H263*100</f>
        <v>7.7441861595041545E-2</v>
      </c>
      <c r="F263" s="108">
        <f>(Indeks!F263/Indeks!$F$40*Indeks!$F$2)/Indeks!H263*100</f>
        <v>8.2065873520040689E-2</v>
      </c>
      <c r="G263" s="108">
        <f>(Indeks!G263/Indeks!$G$40*Indeks!$G$2)/Indeks!H263*100</f>
        <v>2.3405662135968976E-2</v>
      </c>
      <c r="H263" s="108">
        <f t="shared" si="37"/>
        <v>1.0000000000000002</v>
      </c>
    </row>
    <row r="264" spans="1:8" x14ac:dyDescent="0.2">
      <c r="A264" s="63">
        <f t="shared" si="38"/>
        <v>2026</v>
      </c>
      <c r="B264" s="64" t="s">
        <v>15</v>
      </c>
      <c r="C264" s="111">
        <f>(Indeks!C264/Indeks!$C$40*Indeks!$C$2)/Indeks!H264*100</f>
        <v>0.65105647464879468</v>
      </c>
      <c r="D264" s="111">
        <f>(Indeks!D264/Indeks!$D$40*Indeks!$D$2)/Indeks!H264*100</f>
        <v>0.16591034004116598</v>
      </c>
      <c r="E264" s="111">
        <f>(Indeks!E264/Indeks!$E$40*Indeks!$E$2)/Indeks!H264*100</f>
        <v>7.7528048617122217E-2</v>
      </c>
      <c r="F264" s="111">
        <f>(Indeks!F264/Indeks!$F$40*Indeks!$F$2)/Indeks!H264*100</f>
        <v>8.2102905917623051E-2</v>
      </c>
      <c r="G264" s="111">
        <f>(Indeks!G264/Indeks!$G$40*Indeks!$G$2)/Indeks!H264*100</f>
        <v>2.3402230775294144E-2</v>
      </c>
      <c r="H264" s="111">
        <f t="shared" si="37"/>
        <v>1.0000000000000002</v>
      </c>
    </row>
    <row r="265" spans="1:8" x14ac:dyDescent="0.2">
      <c r="A265" s="32">
        <f t="shared" si="38"/>
        <v>2026</v>
      </c>
      <c r="B265" s="67" t="s">
        <v>16</v>
      </c>
      <c r="C265" s="112">
        <f>(Indeks!C265/Indeks!$C$40*Indeks!$C$2)/Indeks!H265*100</f>
        <v>0.65293352811387451</v>
      </c>
      <c r="D265" s="112">
        <f>(Indeks!D265/Indeks!$D$40*Indeks!$D$2)/Indeks!H265*100</f>
        <v>0.16494849450186866</v>
      </c>
      <c r="E265" s="112">
        <f>(Indeks!E265/Indeks!$E$40*Indeks!$E$2)/Indeks!H265*100</f>
        <v>7.7175685921797174E-2</v>
      </c>
      <c r="F265" s="112">
        <f>(Indeks!F265/Indeks!$F$40*Indeks!$F$2)/Indeks!H265*100</f>
        <v>8.1675732347384372E-2</v>
      </c>
      <c r="G265" s="112">
        <f>(Indeks!G265/Indeks!$G$40*Indeks!$G$2)/Indeks!H265*100</f>
        <v>2.3266559115075511E-2</v>
      </c>
      <c r="H265" s="112">
        <f t="shared" si="37"/>
        <v>1.0000000000000002</v>
      </c>
    </row>
    <row r="266" spans="1:8" x14ac:dyDescent="0.2">
      <c r="A266" s="32">
        <f t="shared" si="38"/>
        <v>2026</v>
      </c>
      <c r="B266" s="67" t="s">
        <v>17</v>
      </c>
      <c r="C266" s="112">
        <f>(Indeks!C266/Indeks!$C$40*Indeks!$C$2)/Indeks!H266*100</f>
        <v>0.65283817667239519</v>
      </c>
      <c r="D266" s="112">
        <f>(Indeks!D266/Indeks!$D$40*Indeks!$D$2)/Indeks!H266*100</f>
        <v>0.16492440617427728</v>
      </c>
      <c r="E266" s="112">
        <f>(Indeks!E266/Indeks!$E$40*Indeks!$E$2)/Indeks!H266*100</f>
        <v>7.726162063374914E-2</v>
      </c>
      <c r="F266" s="112">
        <f>(Indeks!F266/Indeks!$F$40*Indeks!$F$2)/Indeks!H266*100</f>
        <v>8.1712635146929016E-2</v>
      </c>
      <c r="G266" s="112">
        <f>(Indeks!G266/Indeks!$G$40*Indeks!$G$2)/Indeks!H266*100</f>
        <v>2.3263161372649423E-2</v>
      </c>
      <c r="H266" s="112">
        <f t="shared" si="37"/>
        <v>1.0000000000000002</v>
      </c>
    </row>
    <row r="267" spans="1:8" x14ac:dyDescent="0.2">
      <c r="A267" s="32">
        <f t="shared" si="38"/>
        <v>2026</v>
      </c>
      <c r="B267" s="33" t="s">
        <v>18</v>
      </c>
      <c r="C267" s="108">
        <f>(Indeks!C267/Indeks!$C$40*Indeks!$C$2)/Indeks!H267*100</f>
        <v>0.65274275410327387</v>
      </c>
      <c r="D267" s="108">
        <f>(Indeks!D267/Indeks!$D$40*Indeks!$D$2)/Indeks!H267*100</f>
        <v>0.16490029987793878</v>
      </c>
      <c r="E267" s="108">
        <f>(Indeks!E267/Indeks!$E$40*Indeks!$E$2)/Indeks!H267*100</f>
        <v>7.7347640955149635E-2</v>
      </c>
      <c r="F267" s="108">
        <f>(Indeks!F267/Indeks!$F$40*Indeks!$F$2)/Indeks!H267*100</f>
        <v>8.1749543967968727E-2</v>
      </c>
      <c r="G267" s="108">
        <f>(Indeks!G267/Indeks!$G$40*Indeks!$G$2)/Indeks!H267*100</f>
        <v>2.3259761095669032E-2</v>
      </c>
      <c r="H267" s="108">
        <f t="shared" si="37"/>
        <v>1</v>
      </c>
    </row>
  </sheetData>
  <phoneticPr fontId="4" type="noConversion"/>
  <pageMargins left="0.74803149606299213" right="0.74803149606299213" top="0.78740157480314965" bottom="0.39370078740157483" header="0" footer="0"/>
  <pageSetup paperSize="9" fitToHeight="0" orientation="portrait" r:id="rId1"/>
  <headerFooter alignWithMargins="0">
    <oddHeader>&amp;L&amp;G&amp;R&amp;14
&amp;"Arial,Fed"Omkostningsindeks</oddHeader>
    <oddFooter>&amp;L&amp;D&amp;RKontaktinformation: FynBus (HNB/JNB)</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44945-61EB-4AA5-B2C9-B31A03C36F53}">
  <sheetPr>
    <pageSetUpPr fitToPage="1"/>
  </sheetPr>
  <dimension ref="A1:AA266"/>
  <sheetViews>
    <sheetView view="pageBreakPreview" topLeftCell="A229" zoomScale="98" zoomScaleNormal="100" zoomScaleSheetLayoutView="98" workbookViewId="0">
      <selection activeCell="C249" sqref="C249:H249"/>
    </sheetView>
  </sheetViews>
  <sheetFormatPr defaultRowHeight="12.75" x14ac:dyDescent="0.2"/>
  <cols>
    <col min="1" max="1" width="7.1406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8" customWidth="1"/>
  </cols>
  <sheetData>
    <row r="1" spans="1:9" ht="18" hidden="1" customHeight="1" x14ac:dyDescent="0.3">
      <c r="A1" s="31" t="s">
        <v>36</v>
      </c>
      <c r="C1" s="2"/>
      <c r="H1" s="100" t="s">
        <v>32</v>
      </c>
    </row>
    <row r="2" spans="1:9" ht="15" customHeight="1" thickBot="1" x14ac:dyDescent="0.3">
      <c r="A2" s="30" t="s">
        <v>1</v>
      </c>
      <c r="B2" s="30" t="s">
        <v>2</v>
      </c>
      <c r="C2" s="30" t="s">
        <v>0</v>
      </c>
      <c r="D2" s="30" t="s">
        <v>20</v>
      </c>
      <c r="E2" s="30" t="s">
        <v>34</v>
      </c>
      <c r="F2" s="30" t="s">
        <v>37</v>
      </c>
      <c r="G2" s="30" t="s">
        <v>35</v>
      </c>
      <c r="H2" s="30" t="s">
        <v>48</v>
      </c>
      <c r="I2" s="29"/>
    </row>
    <row r="3" spans="1:9" ht="15.75" hidden="1" thickBot="1" x14ac:dyDescent="0.25">
      <c r="A3" s="8">
        <v>2005</v>
      </c>
      <c r="B3" s="13" t="s">
        <v>8</v>
      </c>
      <c r="C3" s="121" t="s">
        <v>19</v>
      </c>
      <c r="D3" s="119" t="s">
        <v>19</v>
      </c>
      <c r="E3" s="119"/>
      <c r="F3" s="119"/>
      <c r="G3" s="119"/>
      <c r="H3" s="176"/>
      <c r="I3" s="94"/>
    </row>
    <row r="4" spans="1:9" ht="15.75" hidden="1" thickBot="1" x14ac:dyDescent="0.25">
      <c r="A4" s="12">
        <f>A3</f>
        <v>2005</v>
      </c>
      <c r="B4" s="13" t="s">
        <v>9</v>
      </c>
      <c r="C4" s="121" t="s">
        <v>19</v>
      </c>
      <c r="D4" s="131" t="s">
        <v>19</v>
      </c>
      <c r="E4" s="131"/>
      <c r="F4" s="131"/>
      <c r="G4" s="131"/>
      <c r="H4" s="176"/>
      <c r="I4" s="113"/>
    </row>
    <row r="5" spans="1:9" ht="15.75" hidden="1" thickBot="1" x14ac:dyDescent="0.25">
      <c r="A5" s="16">
        <f t="shared" ref="A5:A14" si="0">A4</f>
        <v>2005</v>
      </c>
      <c r="B5" s="17" t="s">
        <v>10</v>
      </c>
      <c r="C5" s="122" t="s">
        <v>19</v>
      </c>
      <c r="D5" s="132" t="s">
        <v>19</v>
      </c>
      <c r="E5" s="132" t="s">
        <v>19</v>
      </c>
      <c r="F5" s="132"/>
      <c r="G5" s="132"/>
      <c r="H5" s="176"/>
      <c r="I5" s="113"/>
    </row>
    <row r="6" spans="1:9" ht="15.75" hidden="1" thickBot="1" x14ac:dyDescent="0.25">
      <c r="A6" s="21">
        <f t="shared" si="0"/>
        <v>2005</v>
      </c>
      <c r="B6" s="22" t="s">
        <v>11</v>
      </c>
      <c r="C6" s="123" t="s">
        <v>19</v>
      </c>
      <c r="D6" s="133" t="s">
        <v>19</v>
      </c>
      <c r="E6" s="133"/>
      <c r="F6" s="133"/>
      <c r="G6" s="133"/>
      <c r="H6" s="176"/>
      <c r="I6" s="113"/>
    </row>
    <row r="7" spans="1:9" ht="15.75" hidden="1" thickBot="1" x14ac:dyDescent="0.25">
      <c r="A7" s="12">
        <f t="shared" si="0"/>
        <v>2005</v>
      </c>
      <c r="B7" s="13" t="s">
        <v>12</v>
      </c>
      <c r="C7" s="121" t="s">
        <v>19</v>
      </c>
      <c r="D7" s="131" t="s">
        <v>19</v>
      </c>
      <c r="E7" s="131"/>
      <c r="F7" s="131"/>
      <c r="G7" s="131"/>
      <c r="H7" s="176"/>
      <c r="I7" s="113"/>
    </row>
    <row r="8" spans="1:9" ht="15.75" hidden="1" thickBot="1" x14ac:dyDescent="0.25">
      <c r="A8" s="16">
        <f t="shared" si="0"/>
        <v>2005</v>
      </c>
      <c r="B8" s="17" t="s">
        <v>13</v>
      </c>
      <c r="C8" s="122" t="s">
        <v>19</v>
      </c>
      <c r="D8" s="132" t="s">
        <v>19</v>
      </c>
      <c r="E8" s="132" t="s">
        <v>19</v>
      </c>
      <c r="F8" s="132" t="s">
        <v>19</v>
      </c>
      <c r="G8" s="132"/>
      <c r="H8" s="176"/>
      <c r="I8" s="113"/>
    </row>
    <row r="9" spans="1:9" ht="15.75" hidden="1" thickBot="1" x14ac:dyDescent="0.25">
      <c r="A9" s="21">
        <f t="shared" si="0"/>
        <v>2005</v>
      </c>
      <c r="B9" s="26" t="s">
        <v>31</v>
      </c>
      <c r="C9" s="23">
        <f>Indeks!H10</f>
        <v>90.292328719285351</v>
      </c>
      <c r="D9" s="133" t="str">
        <f>"-"</f>
        <v>-</v>
      </c>
      <c r="E9" s="133"/>
      <c r="F9" s="133"/>
      <c r="G9" s="133"/>
      <c r="H9" s="176"/>
      <c r="I9" s="113"/>
    </row>
    <row r="10" spans="1:9" ht="15.75" hidden="1" thickBot="1" x14ac:dyDescent="0.25">
      <c r="A10" s="12">
        <f t="shared" si="0"/>
        <v>2005</v>
      </c>
      <c r="B10" s="13" t="s">
        <v>14</v>
      </c>
      <c r="C10" s="14">
        <f>Indeks!H11</f>
        <v>90.92752527499178</v>
      </c>
      <c r="D10" s="83">
        <f t="shared" ref="D10:D68" si="1">(C10-C9)/C9</f>
        <v>7.034889505189588E-3</v>
      </c>
      <c r="E10" s="131"/>
      <c r="F10" s="131"/>
      <c r="G10" s="131"/>
      <c r="H10" s="176"/>
      <c r="I10" s="113"/>
    </row>
    <row r="11" spans="1:9" ht="15.75" hidden="1" thickBot="1" x14ac:dyDescent="0.25">
      <c r="A11" s="16">
        <f t="shared" si="0"/>
        <v>2005</v>
      </c>
      <c r="B11" s="17" t="s">
        <v>15</v>
      </c>
      <c r="C11" s="18">
        <f>Indeks!H12</f>
        <v>91.414653079921692</v>
      </c>
      <c r="D11" s="84">
        <f t="shared" si="1"/>
        <v>5.3573195075604808E-3</v>
      </c>
      <c r="E11" s="132" t="s">
        <v>19</v>
      </c>
      <c r="F11" s="132"/>
      <c r="G11" s="132"/>
      <c r="H11" s="176"/>
      <c r="I11" s="113"/>
    </row>
    <row r="12" spans="1:9" ht="15.75" hidden="1" thickBot="1" x14ac:dyDescent="0.25">
      <c r="A12" s="12">
        <f t="shared" si="0"/>
        <v>2005</v>
      </c>
      <c r="B12" s="13" t="s">
        <v>16</v>
      </c>
      <c r="C12" s="14">
        <f>Indeks!H13</f>
        <v>91.640641159377168</v>
      </c>
      <c r="D12" s="83">
        <f t="shared" si="1"/>
        <v>2.4721209548090716E-3</v>
      </c>
      <c r="E12" s="131"/>
      <c r="F12" s="131"/>
      <c r="G12" s="131"/>
      <c r="H12" s="176"/>
      <c r="I12" s="113"/>
    </row>
    <row r="13" spans="1:9" ht="15.75" hidden="1" thickBot="1" x14ac:dyDescent="0.25">
      <c r="A13" s="12">
        <f t="shared" si="0"/>
        <v>2005</v>
      </c>
      <c r="B13" s="13" t="s">
        <v>17</v>
      </c>
      <c r="C13" s="14">
        <f>Indeks!H14</f>
        <v>92.197079298895403</v>
      </c>
      <c r="D13" s="83">
        <f t="shared" si="1"/>
        <v>6.0719581670156987E-3</v>
      </c>
      <c r="E13" s="131"/>
      <c r="F13" s="131"/>
      <c r="G13" s="131"/>
      <c r="H13" s="176"/>
      <c r="I13" s="113"/>
    </row>
    <row r="14" spans="1:9" ht="15.75" hidden="1" thickBot="1" x14ac:dyDescent="0.25">
      <c r="A14" s="38">
        <f t="shared" si="0"/>
        <v>2005</v>
      </c>
      <c r="B14" s="39" t="s">
        <v>18</v>
      </c>
      <c r="C14" s="40">
        <f>Indeks!H15</f>
        <v>92.986932917933089</v>
      </c>
      <c r="D14" s="89">
        <f t="shared" si="1"/>
        <v>8.5670134568693324E-3</v>
      </c>
      <c r="E14" s="89">
        <f>(SUM(C12:C14)-SUM(C9:C11))/SUM(C9:C11)</f>
        <v>1.5369097430012659E-2</v>
      </c>
      <c r="F14" s="134" t="str">
        <f>"-"</f>
        <v>-</v>
      </c>
      <c r="G14" s="134" t="str">
        <f>"-"</f>
        <v>-</v>
      </c>
      <c r="H14" s="176"/>
      <c r="I14" s="113"/>
    </row>
    <row r="15" spans="1:9" ht="15.75" hidden="1" thickBot="1" x14ac:dyDescent="0.25">
      <c r="A15" s="8">
        <v>2006</v>
      </c>
      <c r="B15" s="13" t="s">
        <v>8</v>
      </c>
      <c r="C15" s="14">
        <f>Indeks!H16</f>
        <v>92.668805416705865</v>
      </c>
      <c r="D15" s="83">
        <f t="shared" si="1"/>
        <v>-3.4212065205763012E-3</v>
      </c>
      <c r="E15" s="83"/>
      <c r="F15" s="83"/>
      <c r="G15" s="83"/>
      <c r="H15" s="176"/>
      <c r="I15" s="113"/>
    </row>
    <row r="16" spans="1:9" ht="15.75" hidden="1" thickBot="1" x14ac:dyDescent="0.25">
      <c r="A16" s="12">
        <f>A15</f>
        <v>2006</v>
      </c>
      <c r="B16" s="13" t="s">
        <v>9</v>
      </c>
      <c r="C16" s="14">
        <f>Indeks!H17</f>
        <v>92.388858566310347</v>
      </c>
      <c r="D16" s="83">
        <f t="shared" si="1"/>
        <v>-3.0209394535375207E-3</v>
      </c>
      <c r="E16" s="83"/>
      <c r="F16" s="83"/>
      <c r="G16" s="83"/>
      <c r="H16" s="176"/>
      <c r="I16" s="113"/>
    </row>
    <row r="17" spans="1:9" ht="15.75" hidden="1" thickBot="1" x14ac:dyDescent="0.25">
      <c r="A17" s="16">
        <f t="shared" ref="A17:A26" si="2">A16</f>
        <v>2006</v>
      </c>
      <c r="B17" s="17" t="s">
        <v>10</v>
      </c>
      <c r="C17" s="18">
        <f>Indeks!H18</f>
        <v>92.542432970583306</v>
      </c>
      <c r="D17" s="84">
        <f t="shared" si="1"/>
        <v>1.6622610848983903E-3</v>
      </c>
      <c r="E17" s="84">
        <f>(SUM(C15:C17)-SUM(C12:C14))/SUM(C12:C14)</f>
        <v>2.8012085193149811E-3</v>
      </c>
      <c r="F17" s="84"/>
      <c r="G17" s="84"/>
      <c r="H17" s="176"/>
      <c r="I17" s="113"/>
    </row>
    <row r="18" spans="1:9" ht="15.75" hidden="1" thickBot="1" x14ac:dyDescent="0.25">
      <c r="A18" s="21">
        <f t="shared" si="2"/>
        <v>2006</v>
      </c>
      <c r="B18" s="22" t="s">
        <v>11</v>
      </c>
      <c r="C18" s="14">
        <f>Indeks!H19</f>
        <v>93.137418618440705</v>
      </c>
      <c r="D18" s="83">
        <f t="shared" si="1"/>
        <v>6.4293279175675951E-3</v>
      </c>
      <c r="E18" s="83"/>
      <c r="F18" s="83"/>
      <c r="G18" s="85"/>
      <c r="H18" s="176"/>
      <c r="I18" s="113"/>
    </row>
    <row r="19" spans="1:9" ht="15.75" hidden="1" thickBot="1" x14ac:dyDescent="0.25">
      <c r="A19" s="12">
        <f t="shared" si="2"/>
        <v>2006</v>
      </c>
      <c r="B19" s="13" t="s">
        <v>12</v>
      </c>
      <c r="C19" s="14">
        <f>Indeks!H20</f>
        <v>93.591958180466236</v>
      </c>
      <c r="D19" s="83">
        <f t="shared" si="1"/>
        <v>4.880310929462825E-3</v>
      </c>
      <c r="E19" s="83"/>
      <c r="F19" s="83"/>
      <c r="G19" s="83"/>
      <c r="H19" s="176"/>
      <c r="I19" s="113"/>
    </row>
    <row r="20" spans="1:9" ht="15.75" hidden="1" thickBot="1" x14ac:dyDescent="0.25">
      <c r="A20" s="16">
        <f t="shared" si="2"/>
        <v>2006</v>
      </c>
      <c r="B20" s="17" t="s">
        <v>13</v>
      </c>
      <c r="C20" s="18">
        <f>Indeks!H21</f>
        <v>93.947510099286887</v>
      </c>
      <c r="D20" s="84">
        <f t="shared" si="1"/>
        <v>3.7989580059332459E-3</v>
      </c>
      <c r="E20" s="84">
        <f>(SUM(C18:C20)-SUM(C15:C17))/SUM(C15:C17)</f>
        <v>1.1083533393392941E-2</v>
      </c>
      <c r="F20" s="84">
        <f>(SUM(C15:C20)-SUM(C9:C14))/SUM(C9:C14)</f>
        <v>1.6048187083023038E-2</v>
      </c>
      <c r="G20" s="84"/>
      <c r="H20" s="176"/>
      <c r="I20" s="113"/>
    </row>
    <row r="21" spans="1:9" ht="15.75" hidden="1" thickBot="1" x14ac:dyDescent="0.25">
      <c r="A21" s="21">
        <f t="shared" si="2"/>
        <v>2006</v>
      </c>
      <c r="B21" s="26" t="s">
        <v>31</v>
      </c>
      <c r="C21" s="14">
        <f>Indeks!H22</f>
        <v>94.469743503759759</v>
      </c>
      <c r="D21" s="83">
        <f t="shared" si="1"/>
        <v>5.5587785553971288E-3</v>
      </c>
      <c r="E21" s="83"/>
      <c r="F21" s="83"/>
      <c r="G21" s="85"/>
      <c r="H21" s="176"/>
      <c r="I21" s="113"/>
    </row>
    <row r="22" spans="1:9" ht="15.75" hidden="1" thickBot="1" x14ac:dyDescent="0.25">
      <c r="A22" s="12">
        <f t="shared" si="2"/>
        <v>2006</v>
      </c>
      <c r="B22" s="13" t="s">
        <v>14</v>
      </c>
      <c r="C22" s="14">
        <f>Indeks!H23</f>
        <v>94.554737143960054</v>
      </c>
      <c r="D22" s="83">
        <f t="shared" si="1"/>
        <v>8.9969165838703368E-4</v>
      </c>
      <c r="E22" s="83"/>
      <c r="F22" s="83"/>
      <c r="G22" s="83"/>
      <c r="H22" s="176"/>
      <c r="I22" s="113"/>
    </row>
    <row r="23" spans="1:9" ht="15.75" hidden="1" thickBot="1" x14ac:dyDescent="0.25">
      <c r="A23" s="16">
        <f t="shared" si="2"/>
        <v>2006</v>
      </c>
      <c r="B23" s="17" t="s">
        <v>15</v>
      </c>
      <c r="C23" s="18">
        <f>Indeks!H24</f>
        <v>94.606014083732617</v>
      </c>
      <c r="D23" s="84">
        <f t="shared" si="1"/>
        <v>5.4229900395676666E-4</v>
      </c>
      <c r="E23" s="84">
        <f>(SUM(C21:C23)-SUM(C18:C20))/SUM(C18:C20)</f>
        <v>1.0523160157216429E-2</v>
      </c>
      <c r="F23" s="84"/>
      <c r="G23" s="84"/>
      <c r="H23" s="176"/>
      <c r="I23" s="113"/>
    </row>
    <row r="24" spans="1:9" ht="15.75" hidden="1" thickBot="1" x14ac:dyDescent="0.25">
      <c r="A24" s="21">
        <f t="shared" si="2"/>
        <v>2006</v>
      </c>
      <c r="B24" s="22" t="s">
        <v>16</v>
      </c>
      <c r="C24" s="23">
        <f>Indeks!H25</f>
        <v>95.347584194028585</v>
      </c>
      <c r="D24" s="85">
        <f t="shared" si="1"/>
        <v>7.8385091844121926E-3</v>
      </c>
      <c r="E24" s="85"/>
      <c r="F24" s="85"/>
      <c r="G24" s="85"/>
      <c r="H24" s="176"/>
      <c r="I24" s="113"/>
    </row>
    <row r="25" spans="1:9" ht="15.75" hidden="1" thickBot="1" x14ac:dyDescent="0.25">
      <c r="A25" s="12">
        <f t="shared" si="2"/>
        <v>2006</v>
      </c>
      <c r="B25" s="13" t="s">
        <v>17</v>
      </c>
      <c r="C25" s="14">
        <f>Indeks!H26</f>
        <v>94.670874120393549</v>
      </c>
      <c r="D25" s="83">
        <f t="shared" si="1"/>
        <v>-7.0972964795621603E-3</v>
      </c>
      <c r="E25" s="83"/>
      <c r="F25" s="83"/>
      <c r="G25" s="83"/>
      <c r="H25" s="176"/>
      <c r="I25" s="113"/>
    </row>
    <row r="26" spans="1:9" ht="15.75" hidden="1" thickBot="1" x14ac:dyDescent="0.25">
      <c r="A26" s="38">
        <f t="shared" si="2"/>
        <v>2006</v>
      </c>
      <c r="B26" s="39" t="s">
        <v>18</v>
      </c>
      <c r="C26" s="40">
        <f>Indeks!H27</f>
        <v>94.388387509788657</v>
      </c>
      <c r="D26" s="89">
        <f t="shared" si="1"/>
        <v>-2.9838808739174791E-3</v>
      </c>
      <c r="E26" s="89">
        <f>(SUM(C24:C26)-SUM(C21:C23))/SUM(C21:C23)</f>
        <v>2.7371918999520291E-3</v>
      </c>
      <c r="F26" s="89">
        <f>(SUM(C21:C26)-SUM(C15:C20))/SUM(C15:C20)</f>
        <v>1.7483000349627499E-2</v>
      </c>
      <c r="G26" s="134" t="str">
        <f>"-"</f>
        <v>-</v>
      </c>
      <c r="H26" s="176"/>
      <c r="I26" s="113"/>
    </row>
    <row r="27" spans="1:9" ht="15.75" hidden="1" thickBot="1" x14ac:dyDescent="0.25">
      <c r="A27" s="8">
        <v>2007</v>
      </c>
      <c r="B27" s="13" t="s">
        <v>8</v>
      </c>
      <c r="C27" s="14">
        <f>Indeks!H28</f>
        <v>94.648420509917301</v>
      </c>
      <c r="D27" s="83">
        <f t="shared" si="1"/>
        <v>2.7549257592908525E-3</v>
      </c>
      <c r="E27" s="83"/>
      <c r="F27" s="83"/>
      <c r="G27" s="83"/>
      <c r="H27" s="176"/>
      <c r="I27" s="113"/>
    </row>
    <row r="28" spans="1:9" ht="15.75" hidden="1" thickBot="1" x14ac:dyDescent="0.25">
      <c r="A28" s="12">
        <f>A27</f>
        <v>2007</v>
      </c>
      <c r="B28" s="13" t="s">
        <v>9</v>
      </c>
      <c r="C28" s="14">
        <f>Indeks!H29</f>
        <v>94.690506249993803</v>
      </c>
      <c r="D28" s="83">
        <f t="shared" si="1"/>
        <v>4.4465337984263357E-4</v>
      </c>
      <c r="E28" s="83"/>
      <c r="F28" s="83"/>
      <c r="G28" s="83"/>
      <c r="H28" s="176"/>
      <c r="I28" s="113"/>
    </row>
    <row r="29" spans="1:9" ht="15.75" hidden="1" thickBot="1" x14ac:dyDescent="0.25">
      <c r="A29" s="16">
        <f t="shared" ref="A29:A38" si="3">A28</f>
        <v>2007</v>
      </c>
      <c r="B29" s="17" t="s">
        <v>10</v>
      </c>
      <c r="C29" s="18">
        <f>Indeks!H30</f>
        <v>94.256195507008883</v>
      </c>
      <c r="D29" s="84">
        <f t="shared" si="1"/>
        <v>-4.5866345020723577E-3</v>
      </c>
      <c r="E29" s="84">
        <f>(SUM(C27:C29)-SUM(C24:C26))/SUM(C24:C26)</f>
        <v>-2.8540928926602672E-3</v>
      </c>
      <c r="F29" s="84"/>
      <c r="G29" s="84"/>
      <c r="H29" s="176"/>
      <c r="I29" s="113"/>
    </row>
    <row r="30" spans="1:9" ht="15.75" hidden="1" thickBot="1" x14ac:dyDescent="0.25">
      <c r="A30" s="21">
        <f t="shared" si="3"/>
        <v>2007</v>
      </c>
      <c r="B30" s="22" t="s">
        <v>11</v>
      </c>
      <c r="C30" s="23">
        <f>Indeks!H31</f>
        <v>95.288944097184881</v>
      </c>
      <c r="D30" s="85">
        <f t="shared" si="1"/>
        <v>1.095682447844188E-2</v>
      </c>
      <c r="E30" s="83"/>
      <c r="F30" s="83"/>
      <c r="G30" s="85"/>
      <c r="H30" s="176"/>
      <c r="I30" s="113"/>
    </row>
    <row r="31" spans="1:9" ht="15.75" hidden="1" thickBot="1" x14ac:dyDescent="0.25">
      <c r="A31" s="12">
        <f t="shared" si="3"/>
        <v>2007</v>
      </c>
      <c r="B31" s="13" t="s">
        <v>12</v>
      </c>
      <c r="C31" s="14">
        <f>Indeks!H32</f>
        <v>95.46513183110342</v>
      </c>
      <c r="D31" s="83">
        <f t="shared" si="1"/>
        <v>1.848984009507395E-3</v>
      </c>
      <c r="E31" s="83"/>
      <c r="F31" s="83"/>
      <c r="G31" s="83"/>
      <c r="H31" s="176"/>
      <c r="I31" s="113"/>
    </row>
    <row r="32" spans="1:9" ht="15.75" hidden="1" thickBot="1" x14ac:dyDescent="0.25">
      <c r="A32" s="16">
        <f t="shared" si="3"/>
        <v>2007</v>
      </c>
      <c r="B32" s="17" t="s">
        <v>13</v>
      </c>
      <c r="C32" s="18">
        <f>Indeks!H33</f>
        <v>95.825002310907621</v>
      </c>
      <c r="D32" s="84">
        <f t="shared" si="1"/>
        <v>3.7696536201393648E-3</v>
      </c>
      <c r="E32" s="84">
        <f>(SUM(C30:C32)-SUM(C27:C29))/SUM(C27:C29)</f>
        <v>1.0521887500827545E-2</v>
      </c>
      <c r="F32" s="84">
        <f>(SUM(C27:C32)-SUM(C21:C26))/SUM(C21:C26)</f>
        <v>3.7618300732876232E-3</v>
      </c>
      <c r="G32" s="84"/>
      <c r="H32" s="176"/>
      <c r="I32" s="113"/>
    </row>
    <row r="33" spans="1:9" ht="15.75" hidden="1" thickBot="1" x14ac:dyDescent="0.25">
      <c r="A33" s="21">
        <f t="shared" si="3"/>
        <v>2007</v>
      </c>
      <c r="B33" s="26" t="s">
        <v>31</v>
      </c>
      <c r="C33" s="23">
        <f>Indeks!H34</f>
        <v>96.5635045311178</v>
      </c>
      <c r="D33" s="85">
        <f t="shared" si="1"/>
        <v>7.7067800928830952E-3</v>
      </c>
      <c r="E33" s="85"/>
      <c r="F33" s="85"/>
      <c r="G33" s="85"/>
      <c r="H33" s="176"/>
      <c r="I33" s="113"/>
    </row>
    <row r="34" spans="1:9" ht="15.75" hidden="1" thickBot="1" x14ac:dyDescent="0.25">
      <c r="A34" s="12">
        <f t="shared" si="3"/>
        <v>2007</v>
      </c>
      <c r="B34" s="13" t="s">
        <v>14</v>
      </c>
      <c r="C34" s="14">
        <f>Indeks!H35</f>
        <v>97.06601208645553</v>
      </c>
      <c r="D34" s="83">
        <f t="shared" si="1"/>
        <v>5.2039076023363984E-3</v>
      </c>
      <c r="E34" s="83"/>
      <c r="F34" s="83"/>
      <c r="G34" s="83"/>
      <c r="H34" s="176"/>
      <c r="I34" s="113"/>
    </row>
    <row r="35" spans="1:9" ht="15.75" hidden="1" thickBot="1" x14ac:dyDescent="0.25">
      <c r="A35" s="16">
        <f t="shared" si="3"/>
        <v>2007</v>
      </c>
      <c r="B35" s="17" t="s">
        <v>15</v>
      </c>
      <c r="C35" s="18">
        <f>Indeks!H36</f>
        <v>97.048451031158621</v>
      </c>
      <c r="D35" s="84">
        <f t="shared" si="1"/>
        <v>-1.8091868533001612E-4</v>
      </c>
      <c r="E35" s="84">
        <f>(SUM(C33:C35)-SUM(C30:C32))/SUM(C30:C32)</f>
        <v>1.4302821527379038E-2</v>
      </c>
      <c r="F35" s="84"/>
      <c r="G35" s="84"/>
      <c r="H35" s="176"/>
      <c r="I35" s="113"/>
    </row>
    <row r="36" spans="1:9" ht="15.75" hidden="1" thickBot="1" x14ac:dyDescent="0.25">
      <c r="A36" s="21">
        <f t="shared" si="3"/>
        <v>2007</v>
      </c>
      <c r="B36" s="22" t="s">
        <v>16</v>
      </c>
      <c r="C36" s="23">
        <f>Indeks!H37</f>
        <v>97.596384573721011</v>
      </c>
      <c r="D36" s="85">
        <f t="shared" si="1"/>
        <v>5.6459792685044424E-3</v>
      </c>
      <c r="E36" s="85"/>
      <c r="F36" s="85"/>
      <c r="G36" s="85"/>
      <c r="H36" s="176"/>
      <c r="I36" s="113"/>
    </row>
    <row r="37" spans="1:9" ht="15.75" hidden="1" thickBot="1" x14ac:dyDescent="0.25">
      <c r="A37" s="12">
        <f t="shared" si="3"/>
        <v>2007</v>
      </c>
      <c r="B37" s="13" t="s">
        <v>17</v>
      </c>
      <c r="C37" s="14">
        <f>Indeks!H38</f>
        <v>97.984528819412418</v>
      </c>
      <c r="D37" s="83">
        <f t="shared" si="1"/>
        <v>3.9770350857435324E-3</v>
      </c>
      <c r="E37" s="83"/>
      <c r="F37" s="83"/>
      <c r="G37" s="83"/>
      <c r="H37" s="176"/>
      <c r="I37" s="113"/>
    </row>
    <row r="38" spans="1:9" ht="15.75" hidden="1" thickBot="1" x14ac:dyDescent="0.25">
      <c r="A38" s="38">
        <f t="shared" si="3"/>
        <v>2007</v>
      </c>
      <c r="B38" s="39" t="s">
        <v>18</v>
      </c>
      <c r="C38" s="40">
        <f>Indeks!H39</f>
        <v>98.086972839842176</v>
      </c>
      <c r="D38" s="89">
        <f t="shared" si="1"/>
        <v>1.0455122014064503E-3</v>
      </c>
      <c r="E38" s="89">
        <f>(SUM(C36:C38)-SUM(C33:C35))/SUM(C33:C35)</f>
        <v>1.0286017232158402E-2</v>
      </c>
      <c r="F38" s="89">
        <f>(SUM(C33:C38)-SUM(C27:C32))/SUM(C27:C32)</f>
        <v>2.4854953736966955E-2</v>
      </c>
      <c r="G38" s="89">
        <f>(SUM(C27:C38)-SUM(C15:C26))/SUM(C15:C26)</f>
        <v>2.5042503117596294E-2</v>
      </c>
      <c r="H38" s="176"/>
      <c r="I38" s="113"/>
    </row>
    <row r="39" spans="1:9" ht="16.5" hidden="1" thickBot="1" x14ac:dyDescent="0.3">
      <c r="A39" s="8">
        <v>2008</v>
      </c>
      <c r="B39" s="8" t="s">
        <v>8</v>
      </c>
      <c r="C39" s="9">
        <f>Indeks!H40</f>
        <v>100</v>
      </c>
      <c r="D39" s="58">
        <f t="shared" si="1"/>
        <v>1.9503376490998887E-2</v>
      </c>
      <c r="E39" s="90"/>
      <c r="F39" s="90"/>
      <c r="G39" s="90"/>
      <c r="H39" s="176"/>
      <c r="I39" s="114"/>
    </row>
    <row r="40" spans="1:9" ht="15.75" hidden="1" thickBot="1" x14ac:dyDescent="0.25">
      <c r="A40" s="12">
        <f>A39</f>
        <v>2008</v>
      </c>
      <c r="B40" s="13" t="s">
        <v>9</v>
      </c>
      <c r="C40" s="14">
        <f>Indeks!H41</f>
        <v>99.383446750672732</v>
      </c>
      <c r="D40" s="83">
        <f t="shared" si="1"/>
        <v>-6.1655324932726784E-3</v>
      </c>
      <c r="E40" s="83"/>
      <c r="F40" s="83"/>
      <c r="G40" s="83"/>
      <c r="H40" s="176"/>
      <c r="I40" s="55"/>
    </row>
    <row r="41" spans="1:9" ht="15.75" hidden="1" thickBot="1" x14ac:dyDescent="0.25">
      <c r="A41" s="16">
        <f t="shared" ref="A41:A50" si="4">A40</f>
        <v>2008</v>
      </c>
      <c r="B41" s="17" t="s">
        <v>10</v>
      </c>
      <c r="C41" s="18">
        <f>Indeks!H42</f>
        <v>99.524257885272576</v>
      </c>
      <c r="D41" s="84">
        <f t="shared" si="1"/>
        <v>1.4168469619805207E-3</v>
      </c>
      <c r="E41" s="84">
        <f>(SUM(C39:C41)-SUM(C36:C38))/SUM(C36:C38)</f>
        <v>1.7842667341613279E-2</v>
      </c>
      <c r="F41" s="84"/>
      <c r="G41" s="84"/>
      <c r="H41" s="176"/>
      <c r="I41" s="55"/>
    </row>
    <row r="42" spans="1:9" ht="15.75" hidden="1" thickBot="1" x14ac:dyDescent="0.25">
      <c r="A42" s="21">
        <f t="shared" si="4"/>
        <v>2008</v>
      </c>
      <c r="B42" s="22" t="s">
        <v>11</v>
      </c>
      <c r="C42" s="23">
        <f>Indeks!H43</f>
        <v>100.34467210919578</v>
      </c>
      <c r="D42" s="85">
        <f t="shared" si="1"/>
        <v>8.2433593714303071E-3</v>
      </c>
      <c r="E42" s="85"/>
      <c r="F42" s="85"/>
      <c r="G42" s="85"/>
      <c r="H42" s="176"/>
      <c r="I42" s="55"/>
    </row>
    <row r="43" spans="1:9" ht="15.75" hidden="1" thickBot="1" x14ac:dyDescent="0.25">
      <c r="A43" s="12">
        <f t="shared" si="4"/>
        <v>2008</v>
      </c>
      <c r="B43" s="13" t="s">
        <v>12</v>
      </c>
      <c r="C43" s="14">
        <f>Indeks!H44</f>
        <v>101.60504538372001</v>
      </c>
      <c r="D43" s="83">
        <f t="shared" si="1"/>
        <v>1.2560440410355617E-2</v>
      </c>
      <c r="E43" s="83"/>
      <c r="F43" s="83"/>
      <c r="G43" s="83"/>
      <c r="H43" s="176"/>
      <c r="I43" s="55"/>
    </row>
    <row r="44" spans="1:9" ht="15.75" hidden="1" thickBot="1" x14ac:dyDescent="0.25">
      <c r="A44" s="16">
        <f t="shared" si="4"/>
        <v>2008</v>
      </c>
      <c r="B44" s="17" t="s">
        <v>13</v>
      </c>
      <c r="C44" s="18">
        <f>Indeks!H45</f>
        <v>102.05760964772745</v>
      </c>
      <c r="D44" s="84">
        <f t="shared" si="1"/>
        <v>4.4541514872444392E-3</v>
      </c>
      <c r="E44" s="84">
        <f>(SUM(C42:C44)-SUM(C39:C41))/SUM(C39:C41)</f>
        <v>1.7060860009978779E-2</v>
      </c>
      <c r="F44" s="84">
        <f>(SUM(C39:C44)-SUM(C33:C38))/SUM(C33:C38)</f>
        <v>3.1777718232326307E-2</v>
      </c>
      <c r="G44" s="84"/>
      <c r="H44" s="176"/>
      <c r="I44" s="55"/>
    </row>
    <row r="45" spans="1:9" ht="15.75" hidden="1" thickBot="1" x14ac:dyDescent="0.25">
      <c r="A45" s="21">
        <f t="shared" si="4"/>
        <v>2008</v>
      </c>
      <c r="B45" s="26" t="s">
        <v>31</v>
      </c>
      <c r="C45" s="28">
        <f>Indeks!H46</f>
        <v>103.85741111629646</v>
      </c>
      <c r="D45" s="85">
        <f t="shared" si="1"/>
        <v>1.7635152094796217E-2</v>
      </c>
      <c r="E45" s="85"/>
      <c r="F45" s="85"/>
      <c r="G45" s="85"/>
      <c r="H45" s="176"/>
      <c r="I45" s="55"/>
    </row>
    <row r="46" spans="1:9" ht="15.75" hidden="1" thickBot="1" x14ac:dyDescent="0.25">
      <c r="A46" s="12">
        <f t="shared" si="4"/>
        <v>2008</v>
      </c>
      <c r="B46" s="13" t="s">
        <v>14</v>
      </c>
      <c r="C46" s="14">
        <f>Indeks!H47</f>
        <v>105.15926978784404</v>
      </c>
      <c r="D46" s="83">
        <f t="shared" si="1"/>
        <v>1.2535057994944577E-2</v>
      </c>
      <c r="E46" s="83"/>
      <c r="F46" s="83"/>
      <c r="G46" s="83"/>
      <c r="H46" s="176"/>
      <c r="I46" s="55"/>
    </row>
    <row r="47" spans="1:9" ht="15.75" hidden="1" thickBot="1" x14ac:dyDescent="0.25">
      <c r="A47" s="16">
        <f t="shared" si="4"/>
        <v>2008</v>
      </c>
      <c r="B47" s="17" t="s">
        <v>15</v>
      </c>
      <c r="C47" s="18">
        <f>Indeks!H48</f>
        <v>105.10102927747189</v>
      </c>
      <c r="D47" s="84">
        <f t="shared" si="1"/>
        <v>-5.5383144528906307E-4</v>
      </c>
      <c r="E47" s="84">
        <f>(SUM(C45:C47)-SUM(C42:C44))/SUM(C42:C44)</f>
        <v>3.3257037374930735E-2</v>
      </c>
      <c r="F47" s="84"/>
      <c r="G47" s="84"/>
      <c r="H47" s="176"/>
      <c r="I47" s="55"/>
    </row>
    <row r="48" spans="1:9" ht="15.75" hidden="1" thickBot="1" x14ac:dyDescent="0.25">
      <c r="A48" s="21">
        <f t="shared" si="4"/>
        <v>2008</v>
      </c>
      <c r="B48" s="22" t="s">
        <v>16</v>
      </c>
      <c r="C48" s="23">
        <f>Indeks!H49</f>
        <v>104.1004022871024</v>
      </c>
      <c r="D48" s="85">
        <f t="shared" si="1"/>
        <v>-9.5206202760183493E-3</v>
      </c>
      <c r="E48" s="85"/>
      <c r="F48" s="85"/>
      <c r="G48" s="85"/>
      <c r="H48" s="176"/>
      <c r="I48" s="55"/>
    </row>
    <row r="49" spans="1:9" ht="15.75" hidden="1" thickBot="1" x14ac:dyDescent="0.25">
      <c r="A49" s="12">
        <f t="shared" si="4"/>
        <v>2008</v>
      </c>
      <c r="B49" s="13" t="s">
        <v>17</v>
      </c>
      <c r="C49" s="14">
        <f>Indeks!H50</f>
        <v>104.06496664481814</v>
      </c>
      <c r="D49" s="83">
        <f t="shared" si="1"/>
        <v>-3.4039870649612267E-4</v>
      </c>
      <c r="E49" s="83"/>
      <c r="F49" s="83"/>
      <c r="G49" s="83"/>
      <c r="H49" s="176"/>
      <c r="I49" s="55"/>
    </row>
    <row r="50" spans="1:9" ht="15.75" hidden="1" thickBot="1" x14ac:dyDescent="0.25">
      <c r="A50" s="38">
        <f t="shared" si="4"/>
        <v>2008</v>
      </c>
      <c r="B50" s="39" t="s">
        <v>18</v>
      </c>
      <c r="C50" s="40">
        <f>Indeks!H51</f>
        <v>103.31750424738101</v>
      </c>
      <c r="D50" s="89">
        <f t="shared" si="1"/>
        <v>-7.1826515832968084E-3</v>
      </c>
      <c r="E50" s="89">
        <f>(SUM(C48:C50)-SUM(C45:C47))/SUM(C45:C47)</f>
        <v>-8.3880561869226818E-3</v>
      </c>
      <c r="F50" s="89">
        <f>(SUM(C45:C50)-SUM(C39:C44))/SUM(C39:C44)</f>
        <v>3.7626448817304758E-2</v>
      </c>
      <c r="G50" s="89">
        <f>(SUM(C39:C50)-SUM(C27:C38))/SUM(C27:C38)</f>
        <v>6.4092053202934346E-2</v>
      </c>
      <c r="H50" s="176"/>
      <c r="I50" s="55"/>
    </row>
    <row r="51" spans="1:9" ht="15.75" hidden="1" thickBot="1" x14ac:dyDescent="0.25">
      <c r="A51" s="8">
        <v>2009</v>
      </c>
      <c r="B51" s="13" t="s">
        <v>8</v>
      </c>
      <c r="C51" s="14">
        <f>Indeks!H52</f>
        <v>102.44626518020767</v>
      </c>
      <c r="D51" s="58">
        <f t="shared" si="1"/>
        <v>-8.4326375624333722E-3</v>
      </c>
      <c r="E51" s="83"/>
      <c r="F51" s="83"/>
      <c r="G51" s="83"/>
      <c r="H51" s="176"/>
      <c r="I51" s="55"/>
    </row>
    <row r="52" spans="1:9" ht="15.75" hidden="1" thickBot="1" x14ac:dyDescent="0.25">
      <c r="A52" s="12">
        <f>A51</f>
        <v>2009</v>
      </c>
      <c r="B52" s="13" t="s">
        <v>9</v>
      </c>
      <c r="C52" s="14">
        <f>Indeks!H53</f>
        <v>100.44236907631158</v>
      </c>
      <c r="D52" s="83">
        <f t="shared" si="1"/>
        <v>-1.9560460309325588E-2</v>
      </c>
      <c r="E52" s="83"/>
      <c r="F52" s="83"/>
      <c r="G52" s="83"/>
      <c r="H52" s="176"/>
      <c r="I52" s="55"/>
    </row>
    <row r="53" spans="1:9" ht="15.75" hidden="1" thickBot="1" x14ac:dyDescent="0.25">
      <c r="A53" s="16">
        <f t="shared" ref="A53:A62" si="5">A52</f>
        <v>2009</v>
      </c>
      <c r="B53" s="17" t="s">
        <v>10</v>
      </c>
      <c r="C53" s="18">
        <f>Indeks!H54</f>
        <v>100.03882454261429</v>
      </c>
      <c r="D53" s="84">
        <f t="shared" si="1"/>
        <v>-4.0176723967023384E-3</v>
      </c>
      <c r="E53" s="84">
        <f>(SUM(C51:C53)-SUM(C48:C50))/SUM(C48:C50)</f>
        <v>-2.7466724872680894E-2</v>
      </c>
      <c r="F53" s="84"/>
      <c r="G53" s="84"/>
      <c r="H53" s="176"/>
      <c r="I53" s="55"/>
    </row>
    <row r="54" spans="1:9" ht="15.75" hidden="1" thickBot="1" x14ac:dyDescent="0.25">
      <c r="A54" s="21">
        <f t="shared" si="5"/>
        <v>2009</v>
      </c>
      <c r="B54" s="22" t="s">
        <v>11</v>
      </c>
      <c r="C54" s="23">
        <f>Indeks!H55</f>
        <v>100.45099393243727</v>
      </c>
      <c r="D54" s="85">
        <f t="shared" si="1"/>
        <v>4.1200942904662278E-3</v>
      </c>
      <c r="E54" s="85"/>
      <c r="F54" s="85"/>
      <c r="G54" s="85"/>
      <c r="H54" s="176"/>
      <c r="I54" s="55"/>
    </row>
    <row r="55" spans="1:9" ht="15.75" hidden="1" thickBot="1" x14ac:dyDescent="0.25">
      <c r="A55" s="12">
        <f t="shared" si="5"/>
        <v>2009</v>
      </c>
      <c r="B55" s="13" t="s">
        <v>12</v>
      </c>
      <c r="C55" s="14">
        <f>Indeks!H56</f>
        <v>99.941426133001983</v>
      </c>
      <c r="D55" s="83">
        <f t="shared" si="1"/>
        <v>-5.0727999742642719E-3</v>
      </c>
      <c r="E55" s="83"/>
      <c r="F55" s="83"/>
      <c r="G55" s="83"/>
      <c r="H55" s="176"/>
      <c r="I55" s="55"/>
    </row>
    <row r="56" spans="1:9" ht="15.75" hidden="1" thickBot="1" x14ac:dyDescent="0.25">
      <c r="A56" s="16">
        <f t="shared" si="5"/>
        <v>2009</v>
      </c>
      <c r="B56" s="17" t="s">
        <v>13</v>
      </c>
      <c r="C56" s="18">
        <f>Indeks!H57</f>
        <v>100.23724543427278</v>
      </c>
      <c r="D56" s="84">
        <f t="shared" si="1"/>
        <v>2.959926756269422E-3</v>
      </c>
      <c r="E56" s="84">
        <f>(SUM(C54:C56)-SUM(C51:C53))/SUM(C51:C53)</f>
        <v>-7.5852922297980213E-3</v>
      </c>
      <c r="F56" s="84">
        <f>(SUM(C51:C56)-SUM(C45:C50))/SUM(C45:C50)</f>
        <v>-3.5235675362775998E-2</v>
      </c>
      <c r="G56" s="84"/>
      <c r="H56" s="176"/>
      <c r="I56" s="55"/>
    </row>
    <row r="57" spans="1:9" ht="15.75" hidden="1" thickBot="1" x14ac:dyDescent="0.25">
      <c r="A57" s="21">
        <f t="shared" si="5"/>
        <v>2009</v>
      </c>
      <c r="B57" s="26" t="s">
        <v>31</v>
      </c>
      <c r="C57" s="23">
        <f>Indeks!H58</f>
        <v>100.91462050192989</v>
      </c>
      <c r="D57" s="85">
        <f t="shared" si="1"/>
        <v>6.7577182984470156E-3</v>
      </c>
      <c r="E57" s="85"/>
      <c r="F57" s="85"/>
      <c r="G57" s="85"/>
      <c r="H57" s="176"/>
      <c r="I57" s="55"/>
    </row>
    <row r="58" spans="1:9" ht="15.75" hidden="1" thickBot="1" x14ac:dyDescent="0.25">
      <c r="A58" s="32">
        <f t="shared" si="5"/>
        <v>2009</v>
      </c>
      <c r="B58" s="33" t="s">
        <v>14</v>
      </c>
      <c r="C58" s="34">
        <f>Indeks!H59</f>
        <v>101.14278843378494</v>
      </c>
      <c r="D58" s="83">
        <f t="shared" si="1"/>
        <v>2.2609997512767835E-3</v>
      </c>
      <c r="E58" s="116"/>
      <c r="F58" s="116"/>
      <c r="G58" s="116"/>
      <c r="H58" s="176"/>
      <c r="I58" s="55"/>
    </row>
    <row r="59" spans="1:9" ht="15.75" hidden="1" thickBot="1" x14ac:dyDescent="0.25">
      <c r="A59" s="63">
        <f t="shared" si="5"/>
        <v>2009</v>
      </c>
      <c r="B59" s="64" t="s">
        <v>15</v>
      </c>
      <c r="C59" s="65">
        <f>Indeks!H60</f>
        <v>100.47195565458402</v>
      </c>
      <c r="D59" s="84">
        <f t="shared" si="1"/>
        <v>-6.6325319836331676E-3</v>
      </c>
      <c r="E59" s="117">
        <f>(SUM(C57:C59)-SUM(C54:C56))/SUM(C54:C56)</f>
        <v>6.3190673063787421E-3</v>
      </c>
      <c r="F59" s="117"/>
      <c r="G59" s="117"/>
      <c r="H59" s="176"/>
      <c r="I59" s="66"/>
    </row>
    <row r="60" spans="1:9" ht="15.75" hidden="1" thickBot="1" x14ac:dyDescent="0.25">
      <c r="A60" s="70">
        <f t="shared" si="5"/>
        <v>2009</v>
      </c>
      <c r="B60" s="71" t="s">
        <v>16</v>
      </c>
      <c r="C60" s="68">
        <f>Indeks!H61</f>
        <v>101.22472416038572</v>
      </c>
      <c r="D60" s="85">
        <f t="shared" si="1"/>
        <v>7.4923246083679878E-3</v>
      </c>
      <c r="E60" s="118"/>
      <c r="F60" s="118"/>
      <c r="G60" s="118"/>
      <c r="H60" s="176"/>
      <c r="I60" s="66"/>
    </row>
    <row r="61" spans="1:9" ht="15.75" hidden="1" thickBot="1" x14ac:dyDescent="0.25">
      <c r="A61" s="32">
        <f t="shared" si="5"/>
        <v>2009</v>
      </c>
      <c r="B61" s="33" t="s">
        <v>17</v>
      </c>
      <c r="C61" s="34">
        <f>Indeks!H62</f>
        <v>100.63721473803184</v>
      </c>
      <c r="D61" s="83">
        <f t="shared" si="1"/>
        <v>-5.8040110973579416E-3</v>
      </c>
      <c r="E61" s="116"/>
      <c r="F61" s="116"/>
      <c r="G61" s="116"/>
      <c r="H61" s="176"/>
      <c r="I61" s="66"/>
    </row>
    <row r="62" spans="1:9" ht="15.75" hidden="1" thickBot="1" x14ac:dyDescent="0.25">
      <c r="A62" s="72">
        <f t="shared" si="5"/>
        <v>2009</v>
      </c>
      <c r="B62" s="73" t="s">
        <v>18</v>
      </c>
      <c r="C62" s="69">
        <f>Indeks!H63</f>
        <v>101.17875591000654</v>
      </c>
      <c r="D62" s="93">
        <f t="shared" si="1"/>
        <v>5.3811224146493178E-3</v>
      </c>
      <c r="E62" s="138">
        <f>(SUM(C60:C62)-SUM(C57:C59))/SUM(C57:C59)</f>
        <v>1.6901837572619275E-3</v>
      </c>
      <c r="F62" s="138">
        <f>(SUM(C57:C62)-SUM(C51:C56))/SUM(C51:C56)</f>
        <v>3.3351194424484929E-3</v>
      </c>
      <c r="G62" s="93">
        <f>(SUM(C51:C62)-SUM(C39:C50))/SUM(C39:C50)</f>
        <v>-1.5781998373512084E-2</v>
      </c>
      <c r="H62" s="176"/>
      <c r="I62" s="66"/>
    </row>
    <row r="63" spans="1:9" ht="15.75" hidden="1" thickBot="1" x14ac:dyDescent="0.25">
      <c r="A63" s="87">
        <v>2010</v>
      </c>
      <c r="B63" s="88" t="s">
        <v>8</v>
      </c>
      <c r="C63" s="14">
        <f>Indeks!H64</f>
        <v>101.71793762201607</v>
      </c>
      <c r="D63" s="116">
        <f t="shared" si="1"/>
        <v>5.3290012034650615E-3</v>
      </c>
      <c r="E63" s="148"/>
      <c r="F63" s="148"/>
      <c r="G63" s="148"/>
      <c r="H63" s="78"/>
      <c r="I63" s="55"/>
    </row>
    <row r="64" spans="1:9" ht="15.75" hidden="1" thickBot="1" x14ac:dyDescent="0.25">
      <c r="A64" s="32">
        <f>A63</f>
        <v>2010</v>
      </c>
      <c r="B64" s="33" t="s">
        <v>9</v>
      </c>
      <c r="C64" s="14">
        <f>Indeks!H65</f>
        <v>101.34486093673642</v>
      </c>
      <c r="D64" s="116">
        <f t="shared" si="1"/>
        <v>-3.6677570741356883E-3</v>
      </c>
      <c r="E64" s="148"/>
      <c r="F64" s="148"/>
      <c r="G64" s="148"/>
      <c r="H64" s="78"/>
      <c r="I64" s="55"/>
    </row>
    <row r="65" spans="1:9" ht="15.75" hidden="1" thickBot="1" x14ac:dyDescent="0.25">
      <c r="A65" s="63">
        <f t="shared" ref="A65:A74" si="6">A64</f>
        <v>2010</v>
      </c>
      <c r="B65" s="64" t="s">
        <v>10</v>
      </c>
      <c r="C65" s="18">
        <f>Indeks!H66</f>
        <v>102.04076296881883</v>
      </c>
      <c r="D65" s="117">
        <f t="shared" si="1"/>
        <v>6.8666731164277904E-3</v>
      </c>
      <c r="E65" s="91">
        <f>(SUM(C63:C65)-SUM(C60:C62))/SUM(C60:C62)</f>
        <v>6.807226733859183E-3</v>
      </c>
      <c r="F65" s="91"/>
      <c r="G65" s="91"/>
      <c r="H65" s="139"/>
      <c r="I65" s="55"/>
    </row>
    <row r="66" spans="1:9" ht="15.75" hidden="1" thickBot="1" x14ac:dyDescent="0.25">
      <c r="A66" s="70">
        <f t="shared" si="6"/>
        <v>2010</v>
      </c>
      <c r="B66" s="71" t="s">
        <v>11</v>
      </c>
      <c r="C66" s="23">
        <f>Indeks!H67</f>
        <v>101.97301151351795</v>
      </c>
      <c r="D66" s="118">
        <f t="shared" si="1"/>
        <v>-6.639646091394114E-4</v>
      </c>
      <c r="E66" s="151"/>
      <c r="F66" s="151"/>
      <c r="G66" s="151"/>
      <c r="H66" s="76"/>
      <c r="I66" s="55"/>
    </row>
    <row r="67" spans="1:9" ht="15.75" hidden="1" thickBot="1" x14ac:dyDescent="0.25">
      <c r="A67" s="32">
        <f t="shared" si="6"/>
        <v>2010</v>
      </c>
      <c r="B67" s="33" t="s">
        <v>12</v>
      </c>
      <c r="C67" s="14">
        <f>Indeks!H68</f>
        <v>102.59018325031738</v>
      </c>
      <c r="D67" s="116">
        <f t="shared" si="1"/>
        <v>6.0523046994411852E-3</v>
      </c>
      <c r="E67" s="148"/>
      <c r="F67" s="148"/>
      <c r="G67" s="148"/>
      <c r="H67" s="78"/>
      <c r="I67" s="55"/>
    </row>
    <row r="68" spans="1:9" ht="15.75" hidden="1" thickBot="1" x14ac:dyDescent="0.25">
      <c r="A68" s="63">
        <f t="shared" si="6"/>
        <v>2010</v>
      </c>
      <c r="B68" s="64" t="s">
        <v>13</v>
      </c>
      <c r="C68" s="18">
        <f>Indeks!H69</f>
        <v>103.02122460369421</v>
      </c>
      <c r="D68" s="117">
        <f t="shared" si="1"/>
        <v>4.2015847883329852E-3</v>
      </c>
      <c r="E68" s="91">
        <f>(SUM(C66:C68)-SUM(C63:C65))/SUM(C63:C65)</f>
        <v>8.1311992149068636E-3</v>
      </c>
      <c r="F68" s="91">
        <f>(SUM(C63:C68)-SUM(C57:C62))/SUM(C57:C62)</f>
        <v>1.1754084248229452E-2</v>
      </c>
      <c r="G68" s="91"/>
      <c r="H68" s="139"/>
      <c r="I68" s="55"/>
    </row>
    <row r="69" spans="1:9" ht="15.75" hidden="1" thickBot="1" x14ac:dyDescent="0.25">
      <c r="A69" s="70">
        <f t="shared" si="6"/>
        <v>2010</v>
      </c>
      <c r="B69" s="75" t="s">
        <v>31</v>
      </c>
      <c r="C69" s="23">
        <f>Indeks!H70</f>
        <v>103.54391995625241</v>
      </c>
      <c r="D69" s="118">
        <f t="shared" ref="D69:D86" si="7">(C69-C68)/C68</f>
        <v>5.0736666601365436E-3</v>
      </c>
      <c r="E69" s="151"/>
      <c r="F69" s="151"/>
      <c r="G69" s="151"/>
      <c r="H69" s="76"/>
      <c r="I69" s="55"/>
    </row>
    <row r="70" spans="1:9" ht="15.75" hidden="1" thickBot="1" x14ac:dyDescent="0.25">
      <c r="A70" s="32">
        <f t="shared" si="6"/>
        <v>2010</v>
      </c>
      <c r="B70" s="33" t="s">
        <v>14</v>
      </c>
      <c r="C70" s="34">
        <f>Indeks!H71</f>
        <v>103.68044887758985</v>
      </c>
      <c r="D70" s="116">
        <f t="shared" si="7"/>
        <v>1.3185604852040344E-3</v>
      </c>
      <c r="E70" s="148"/>
      <c r="F70" s="148"/>
      <c r="G70" s="148"/>
      <c r="H70" s="78"/>
      <c r="I70" s="55"/>
    </row>
    <row r="71" spans="1:9" ht="15.75" hidden="1" thickBot="1" x14ac:dyDescent="0.25">
      <c r="A71" s="63">
        <f t="shared" si="6"/>
        <v>2010</v>
      </c>
      <c r="B71" s="64" t="s">
        <v>15</v>
      </c>
      <c r="C71" s="65">
        <f>Indeks!H72</f>
        <v>103.44437520283692</v>
      </c>
      <c r="D71" s="117">
        <f t="shared" si="7"/>
        <v>-2.2769353075588064E-3</v>
      </c>
      <c r="E71" s="91">
        <f>(SUM(C69:C71)-SUM(C66:C68))/SUM(C66:C68)</f>
        <v>1.0027571212780431E-2</v>
      </c>
      <c r="F71" s="91"/>
      <c r="G71" s="91"/>
      <c r="H71" s="139"/>
      <c r="I71" s="66"/>
    </row>
    <row r="72" spans="1:9" ht="15.75" hidden="1" thickBot="1" x14ac:dyDescent="0.25">
      <c r="A72" s="70">
        <f t="shared" si="6"/>
        <v>2010</v>
      </c>
      <c r="B72" s="71" t="s">
        <v>16</v>
      </c>
      <c r="C72" s="68">
        <f>Indeks!H73</f>
        <v>103.17975935042105</v>
      </c>
      <c r="D72" s="118">
        <f t="shared" si="7"/>
        <v>-2.5580496947949583E-3</v>
      </c>
      <c r="E72" s="151"/>
      <c r="F72" s="151"/>
      <c r="G72" s="151"/>
      <c r="H72" s="76"/>
      <c r="I72" s="66"/>
    </row>
    <row r="73" spans="1:9" ht="15.75" hidden="1" thickBot="1" x14ac:dyDescent="0.25">
      <c r="A73" s="32">
        <f t="shared" si="6"/>
        <v>2010</v>
      </c>
      <c r="B73" s="33" t="s">
        <v>17</v>
      </c>
      <c r="C73" s="34">
        <f>Indeks!H74</f>
        <v>103.80777308415638</v>
      </c>
      <c r="D73" s="148">
        <f t="shared" si="7"/>
        <v>6.0865981631383478E-3</v>
      </c>
      <c r="E73" s="148"/>
      <c r="F73" s="148"/>
      <c r="G73" s="148"/>
      <c r="H73" s="78"/>
      <c r="I73" s="66"/>
    </row>
    <row r="74" spans="1:9" ht="15.75" hidden="1" thickBot="1" x14ac:dyDescent="0.25">
      <c r="A74" s="72">
        <f t="shared" si="6"/>
        <v>2010</v>
      </c>
      <c r="B74" s="73" t="s">
        <v>18</v>
      </c>
      <c r="C74" s="69">
        <f>Indeks!H75</f>
        <v>103.82446466259715</v>
      </c>
      <c r="D74" s="93">
        <f t="shared" si="7"/>
        <v>1.6079314626313057E-4</v>
      </c>
      <c r="E74" s="138">
        <f>(SUM(C72:C74)-SUM(C69:C71))/SUM(C69:C71)</f>
        <v>4.6111191822529647E-4</v>
      </c>
      <c r="F74" s="138">
        <f>(SUM(C69:C74)-SUM(C63:C68))/SUM(C63:C68)</f>
        <v>1.4351122452095699E-2</v>
      </c>
      <c r="G74" s="138">
        <f>(SUM(C63:C74)-SUM(C51:C62))/SUM(C51:C62)</f>
        <v>2.0710425395290468E-2</v>
      </c>
      <c r="H74" s="135"/>
      <c r="I74" s="66"/>
    </row>
    <row r="75" spans="1:9" ht="15.75" hidden="1" thickBot="1" x14ac:dyDescent="0.25">
      <c r="A75" s="74">
        <v>2011</v>
      </c>
      <c r="B75" s="33" t="s">
        <v>8</v>
      </c>
      <c r="C75" s="78">
        <f>Indeks!H76</f>
        <v>104.58505674273317</v>
      </c>
      <c r="D75" s="147">
        <f t="shared" si="7"/>
        <v>7.3257500783437722E-3</v>
      </c>
      <c r="E75" s="156"/>
      <c r="F75" s="156"/>
      <c r="G75" s="156"/>
      <c r="H75" s="78"/>
      <c r="I75" s="55"/>
    </row>
    <row r="76" spans="1:9" ht="15.75" hidden="1" thickBot="1" x14ac:dyDescent="0.25">
      <c r="A76" s="32">
        <f>A75</f>
        <v>2011</v>
      </c>
      <c r="B76" s="33" t="s">
        <v>9</v>
      </c>
      <c r="C76" s="78">
        <f>Indeks!H77</f>
        <v>104.98013649700204</v>
      </c>
      <c r="D76" s="116">
        <f t="shared" si="7"/>
        <v>3.7775927706451664E-3</v>
      </c>
      <c r="E76" s="148"/>
      <c r="F76" s="148"/>
      <c r="G76" s="148"/>
      <c r="H76" s="78"/>
      <c r="I76" s="55"/>
    </row>
    <row r="77" spans="1:9" ht="15.75" hidden="1" thickBot="1" x14ac:dyDescent="0.25">
      <c r="A77" s="63">
        <f t="shared" ref="A77:A86" si="8">A76</f>
        <v>2011</v>
      </c>
      <c r="B77" s="64" t="s">
        <v>10</v>
      </c>
      <c r="C77" s="139">
        <f>Indeks!H78</f>
        <v>105.99337858333936</v>
      </c>
      <c r="D77" s="117">
        <f t="shared" si="7"/>
        <v>9.651750513453218E-3</v>
      </c>
      <c r="E77" s="91">
        <f>(SUM(C75:C77)-SUM(C72:C74))/SUM(C72:C74)</f>
        <v>1.5271529960974951E-2</v>
      </c>
      <c r="F77" s="91"/>
      <c r="G77" s="91"/>
      <c r="H77" s="139"/>
      <c r="I77" s="55"/>
    </row>
    <row r="78" spans="1:9" ht="15.75" hidden="1" thickBot="1" x14ac:dyDescent="0.25">
      <c r="A78" s="70">
        <f t="shared" si="8"/>
        <v>2011</v>
      </c>
      <c r="B78" s="71" t="s">
        <v>11</v>
      </c>
      <c r="C78" s="76">
        <f>Indeks!H79</f>
        <v>106.73958017361328</v>
      </c>
      <c r="D78" s="118">
        <f t="shared" si="7"/>
        <v>7.0400774109412598E-3</v>
      </c>
      <c r="E78" s="151"/>
      <c r="F78" s="151"/>
      <c r="G78" s="151"/>
      <c r="H78" s="76"/>
      <c r="I78" s="55"/>
    </row>
    <row r="79" spans="1:9" ht="15.75" hidden="1" thickBot="1" x14ac:dyDescent="0.25">
      <c r="A79" s="32">
        <f t="shared" si="8"/>
        <v>2011</v>
      </c>
      <c r="B79" s="33" t="s">
        <v>12</v>
      </c>
      <c r="C79" s="78">
        <f>Indeks!H80</f>
        <v>107.36690599244854</v>
      </c>
      <c r="D79" s="116">
        <f t="shared" si="7"/>
        <v>5.8771621343732712E-3</v>
      </c>
      <c r="E79" s="148"/>
      <c r="F79" s="148"/>
      <c r="G79" s="148"/>
      <c r="H79" s="78"/>
      <c r="I79" s="55"/>
    </row>
    <row r="80" spans="1:9" ht="15.75" hidden="1" thickBot="1" x14ac:dyDescent="0.25">
      <c r="A80" s="63">
        <f t="shared" si="8"/>
        <v>2011</v>
      </c>
      <c r="B80" s="64" t="s">
        <v>13</v>
      </c>
      <c r="C80" s="139">
        <f>Indeks!H81</f>
        <v>107.9271775757901</v>
      </c>
      <c r="D80" s="117">
        <f t="shared" si="7"/>
        <v>5.2182893617234889E-3</v>
      </c>
      <c r="E80" s="91">
        <f>(SUM(C78:C80)-SUM(C75:C77))/SUM(C75:C77)</f>
        <v>2.0519461351877905E-2</v>
      </c>
      <c r="F80" s="91">
        <f>(SUM(C75:C80)-SUM(C69:C74))/SUM(C69:C74)</f>
        <v>2.5924366379685884E-2</v>
      </c>
      <c r="G80" s="91"/>
      <c r="H80" s="139"/>
      <c r="I80" s="55"/>
    </row>
    <row r="81" spans="1:9" ht="15.75" hidden="1" thickBot="1" x14ac:dyDescent="0.25">
      <c r="A81" s="70">
        <f t="shared" si="8"/>
        <v>2011</v>
      </c>
      <c r="B81" s="75" t="s">
        <v>31</v>
      </c>
      <c r="C81" s="76">
        <f>Indeks!H82</f>
        <v>107.30731154423297</v>
      </c>
      <c r="D81" s="118">
        <f t="shared" si="7"/>
        <v>-5.7433729435000967E-3</v>
      </c>
      <c r="E81" s="151"/>
      <c r="F81" s="151"/>
      <c r="G81" s="151"/>
      <c r="H81" s="76"/>
      <c r="I81" s="55"/>
    </row>
    <row r="82" spans="1:9" ht="15.75" hidden="1" thickBot="1" x14ac:dyDescent="0.25">
      <c r="A82" s="32">
        <f t="shared" si="8"/>
        <v>2011</v>
      </c>
      <c r="B82" s="33" t="s">
        <v>14</v>
      </c>
      <c r="C82" s="78">
        <f>Indeks!H83</f>
        <v>107.77995894618688</v>
      </c>
      <c r="D82" s="116">
        <f t="shared" si="7"/>
        <v>4.4046150737741445E-3</v>
      </c>
      <c r="E82" s="148"/>
      <c r="F82" s="148"/>
      <c r="G82" s="148"/>
      <c r="H82" s="78"/>
      <c r="I82" s="55"/>
    </row>
    <row r="83" spans="1:9" ht="15.75" hidden="1" thickBot="1" x14ac:dyDescent="0.25">
      <c r="A83" s="63">
        <f t="shared" si="8"/>
        <v>2011</v>
      </c>
      <c r="B83" s="64" t="s">
        <v>15</v>
      </c>
      <c r="C83" s="139">
        <f>Indeks!H84</f>
        <v>107.72051815768444</v>
      </c>
      <c r="D83" s="117">
        <f t="shared" si="7"/>
        <v>-5.515013095534801E-4</v>
      </c>
      <c r="E83" s="91">
        <f>(SUM(C81:C83)-SUM(C78:C80))/SUM(C78:C80)</f>
        <v>2.4038633019215494E-3</v>
      </c>
      <c r="F83" s="91"/>
      <c r="G83" s="91"/>
      <c r="H83" s="139"/>
      <c r="I83" s="66"/>
    </row>
    <row r="84" spans="1:9" ht="15.75" hidden="1" thickBot="1" x14ac:dyDescent="0.25">
      <c r="A84" s="70">
        <f t="shared" si="8"/>
        <v>2011</v>
      </c>
      <c r="B84" s="71" t="s">
        <v>16</v>
      </c>
      <c r="C84" s="76">
        <f>Indeks!H85</f>
        <v>107.15480734386321</v>
      </c>
      <c r="D84" s="116">
        <f t="shared" si="7"/>
        <v>-5.2516532922086629E-3</v>
      </c>
      <c r="E84" s="151"/>
      <c r="F84" s="151"/>
      <c r="G84" s="151"/>
      <c r="H84" s="76"/>
      <c r="I84" s="66"/>
    </row>
    <row r="85" spans="1:9" ht="15.75" hidden="1" thickBot="1" x14ac:dyDescent="0.25">
      <c r="A85" s="32">
        <f t="shared" si="8"/>
        <v>2011</v>
      </c>
      <c r="B85" s="33" t="s">
        <v>17</v>
      </c>
      <c r="C85" s="78">
        <f>Indeks!H86</f>
        <v>107.28408664030727</v>
      </c>
      <c r="D85" s="116">
        <f t="shared" si="7"/>
        <v>1.2064722026814184E-3</v>
      </c>
      <c r="E85" s="148"/>
      <c r="F85" s="148"/>
      <c r="G85" s="148"/>
      <c r="H85" s="78"/>
      <c r="I85" s="66"/>
    </row>
    <row r="86" spans="1:9" ht="15.75" hidden="1" thickBot="1" x14ac:dyDescent="0.25">
      <c r="A86" s="72">
        <f t="shared" si="8"/>
        <v>2011</v>
      </c>
      <c r="B86" s="73" t="s">
        <v>18</v>
      </c>
      <c r="C86" s="135">
        <f>Indeks!H87</f>
        <v>108.00417847192873</v>
      </c>
      <c r="D86" s="93">
        <f t="shared" si="7"/>
        <v>6.7120097133857408E-3</v>
      </c>
      <c r="E86" s="148">
        <f>(SUM(C84:C86)-SUM(C81:C83))/SUM(C81:C83)</f>
        <v>-1.1298246350636928E-3</v>
      </c>
      <c r="F86" s="148">
        <f>(SUM(C81:C86)-SUM(C75:C80))/SUM(C75:C80)</f>
        <v>1.2011792352664535E-2</v>
      </c>
      <c r="G86" s="148">
        <f>(SUM(C75:C86)-SUM(C63:C74))/SUM(C63:C74)</f>
        <v>3.9438995472317266E-2</v>
      </c>
      <c r="H86" s="135"/>
      <c r="I86" s="66"/>
    </row>
    <row r="87" spans="1:9" ht="13.5" hidden="1" customHeight="1" x14ac:dyDescent="0.2">
      <c r="A87" s="74">
        <v>2012</v>
      </c>
      <c r="B87" s="33" t="s">
        <v>8</v>
      </c>
      <c r="C87" s="78">
        <f>Indeks!H88</f>
        <v>108.28959502910448</v>
      </c>
      <c r="D87" s="148">
        <f t="shared" ref="D87:D110" si="9">(C87-C86)/C86</f>
        <v>2.6426436570686283E-3</v>
      </c>
      <c r="E87" s="156"/>
      <c r="F87" s="156"/>
      <c r="G87" s="156"/>
      <c r="H87" s="78"/>
    </row>
    <row r="88" spans="1:9" ht="13.5" hidden="1" thickBot="1" x14ac:dyDescent="0.25">
      <c r="A88" s="32">
        <f>A87</f>
        <v>2012</v>
      </c>
      <c r="B88" s="33" t="s">
        <v>9</v>
      </c>
      <c r="C88" s="78">
        <f>Indeks!H89</f>
        <v>107.42545592963126</v>
      </c>
      <c r="D88" s="148">
        <f t="shared" si="9"/>
        <v>-7.9798903970503352E-3</v>
      </c>
      <c r="E88" s="148"/>
      <c r="F88" s="148"/>
      <c r="G88" s="148"/>
      <c r="H88" s="78"/>
    </row>
    <row r="89" spans="1:9" ht="13.5" hidden="1" thickBot="1" x14ac:dyDescent="0.25">
      <c r="A89" s="63">
        <f t="shared" ref="A89:A98" si="10">A88</f>
        <v>2012</v>
      </c>
      <c r="B89" s="64" t="s">
        <v>10</v>
      </c>
      <c r="C89" s="139">
        <f>Indeks!H90</f>
        <v>108.29331925732106</v>
      </c>
      <c r="D89" s="91">
        <f t="shared" si="9"/>
        <v>8.0787493074108568E-3</v>
      </c>
      <c r="E89" s="91">
        <f>(SUM(C87:C89)-SUM(C84:C86))/SUM(C84:C86)</f>
        <v>4.8544933778060162E-3</v>
      </c>
      <c r="F89" s="91"/>
      <c r="G89" s="91"/>
      <c r="H89" s="139"/>
    </row>
    <row r="90" spans="1:9" ht="13.5" hidden="1" thickBot="1" x14ac:dyDescent="0.25">
      <c r="A90" s="70">
        <f t="shared" si="10"/>
        <v>2012</v>
      </c>
      <c r="B90" s="71" t="s">
        <v>11</v>
      </c>
      <c r="C90" s="76">
        <f>Indeks!H91</f>
        <v>109.25827194239672</v>
      </c>
      <c r="D90" s="151">
        <f t="shared" si="9"/>
        <v>8.910546760348045E-3</v>
      </c>
      <c r="E90" s="151"/>
      <c r="F90" s="151"/>
      <c r="G90" s="151"/>
      <c r="H90" s="76"/>
    </row>
    <row r="91" spans="1:9" ht="13.5" hidden="1" thickBot="1" x14ac:dyDescent="0.25">
      <c r="A91" s="32">
        <f t="shared" si="10"/>
        <v>2012</v>
      </c>
      <c r="B91" s="33" t="s">
        <v>12</v>
      </c>
      <c r="C91" s="78">
        <f>Indeks!H92</f>
        <v>109.53779353454972</v>
      </c>
      <c r="D91" s="148">
        <f t="shared" si="9"/>
        <v>2.5583563347988214E-3</v>
      </c>
      <c r="E91" s="148"/>
      <c r="F91" s="148"/>
      <c r="G91" s="148"/>
      <c r="H91" s="78"/>
    </row>
    <row r="92" spans="1:9" ht="13.5" hidden="1" thickBot="1" x14ac:dyDescent="0.25">
      <c r="A92" s="63">
        <f t="shared" si="10"/>
        <v>2012</v>
      </c>
      <c r="B92" s="64" t="s">
        <v>13</v>
      </c>
      <c r="C92" s="139">
        <f>Indeks!H93</f>
        <v>109.13490121154003</v>
      </c>
      <c r="D92" s="91">
        <f t="shared" si="9"/>
        <v>-3.6781124578944275E-3</v>
      </c>
      <c r="E92" s="91">
        <f>(SUM(C90:C92)-SUM(C87:C89))/SUM(C87:C89)</f>
        <v>1.2106466477437001E-2</v>
      </c>
      <c r="F92" s="91">
        <f>(SUM(C87:C92)-SUM(C81:C86))/SUM(C81:C86)</f>
        <v>1.036569837178359E-2</v>
      </c>
      <c r="G92" s="91"/>
      <c r="H92" s="139"/>
    </row>
    <row r="93" spans="1:9" ht="13.5" hidden="1" thickBot="1" x14ac:dyDescent="0.25">
      <c r="A93" s="70">
        <f t="shared" si="10"/>
        <v>2012</v>
      </c>
      <c r="B93" s="75" t="s">
        <v>31</v>
      </c>
      <c r="C93" s="76">
        <f>Indeks!H94</f>
        <v>108.51726978812567</v>
      </c>
      <c r="D93" s="151">
        <f t="shared" si="9"/>
        <v>-5.6593391899184943E-3</v>
      </c>
      <c r="E93" s="151"/>
      <c r="F93" s="151"/>
      <c r="G93" s="151"/>
      <c r="H93" s="76"/>
    </row>
    <row r="94" spans="1:9" ht="13.5" hidden="1" thickBot="1" x14ac:dyDescent="0.25">
      <c r="A94" s="32">
        <f t="shared" si="10"/>
        <v>2012</v>
      </c>
      <c r="B94" s="33" t="s">
        <v>14</v>
      </c>
      <c r="C94" s="78">
        <f>Indeks!H95</f>
        <v>108.11610912573073</v>
      </c>
      <c r="D94" s="148">
        <f t="shared" si="9"/>
        <v>-3.6967448884236455E-3</v>
      </c>
      <c r="E94" s="148"/>
      <c r="F94" s="148"/>
      <c r="G94" s="148"/>
      <c r="H94" s="78"/>
    </row>
    <row r="95" spans="1:9" ht="13.5" hidden="1" thickBot="1" x14ac:dyDescent="0.25">
      <c r="A95" s="63">
        <f t="shared" si="10"/>
        <v>2012</v>
      </c>
      <c r="B95" s="64" t="s">
        <v>15</v>
      </c>
      <c r="C95" s="139">
        <f>Indeks!H96</f>
        <v>108.71904368898144</v>
      </c>
      <c r="D95" s="91">
        <f t="shared" si="9"/>
        <v>5.5767319794087899E-3</v>
      </c>
      <c r="E95" s="91">
        <f>(SUM(C93:C95)-SUM(C90:C92))/SUM(C90:C92)</f>
        <v>-7.8630698152336084E-3</v>
      </c>
      <c r="F95" s="91"/>
      <c r="G95" s="91"/>
      <c r="H95" s="139"/>
    </row>
    <row r="96" spans="1:9" ht="13.5" hidden="1" thickBot="1" x14ac:dyDescent="0.25">
      <c r="A96" s="70">
        <f t="shared" si="10"/>
        <v>2012</v>
      </c>
      <c r="B96" s="71" t="s">
        <v>16</v>
      </c>
      <c r="C96" s="76">
        <f>Indeks!H97</f>
        <v>109.53061868569037</v>
      </c>
      <c r="D96" s="148">
        <f t="shared" si="9"/>
        <v>7.4648835123186374E-3</v>
      </c>
      <c r="E96" s="151"/>
      <c r="F96" s="151"/>
      <c r="G96" s="151"/>
      <c r="H96" s="76"/>
    </row>
    <row r="97" spans="1:8" ht="13.5" hidden="1" thickBot="1" x14ac:dyDescent="0.25">
      <c r="A97" s="32">
        <f t="shared" si="10"/>
        <v>2012</v>
      </c>
      <c r="B97" s="33" t="s">
        <v>17</v>
      </c>
      <c r="C97" s="78">
        <f>Indeks!H98</f>
        <v>109.63876118087016</v>
      </c>
      <c r="D97" s="148">
        <f t="shared" si="9"/>
        <v>9.8732661677112979E-4</v>
      </c>
      <c r="E97" s="148"/>
      <c r="F97" s="148"/>
      <c r="G97" s="148"/>
      <c r="H97" s="78"/>
    </row>
    <row r="98" spans="1:8" ht="13.5" hidden="1" thickBot="1" x14ac:dyDescent="0.25">
      <c r="A98" s="72">
        <f t="shared" si="10"/>
        <v>2012</v>
      </c>
      <c r="B98" s="73" t="s">
        <v>18</v>
      </c>
      <c r="C98" s="135">
        <f>Indeks!H99</f>
        <v>109.71193763101257</v>
      </c>
      <c r="D98" s="138">
        <f t="shared" si="9"/>
        <v>6.6743229633627272E-4</v>
      </c>
      <c r="E98" s="148">
        <f>(SUM(C96:C98)-SUM(C93:C95))/SUM(C93:C95)</f>
        <v>1.0846376573759222E-2</v>
      </c>
      <c r="F98" s="148">
        <f>(SUM(C93:C98)-SUM(C87:C92))/SUM(C87:C92)</f>
        <v>3.5193507524206597E-3</v>
      </c>
      <c r="G98" s="148">
        <f>(SUM(C87:C98)-SUM(C75:C86))/SUM(C75:C86)</f>
        <v>1.8186152613986862E-2</v>
      </c>
      <c r="H98" s="135">
        <f>(C87+C88+C89+C90+C91+C92+C93+C94+C95+C96+C97+C98)/12</f>
        <v>108.84775641707954</v>
      </c>
    </row>
    <row r="99" spans="1:8" ht="13.5" hidden="1" thickBot="1" x14ac:dyDescent="0.25">
      <c r="A99" s="74">
        <v>2013</v>
      </c>
      <c r="B99" s="33" t="s">
        <v>8</v>
      </c>
      <c r="C99" s="78">
        <f>Indeks!H100</f>
        <v>109.61162330376909</v>
      </c>
      <c r="D99" s="148">
        <f t="shared" si="9"/>
        <v>-9.1434286377169128E-4</v>
      </c>
      <c r="E99" s="156"/>
      <c r="F99" s="156"/>
      <c r="G99" s="156"/>
      <c r="H99" s="78"/>
    </row>
    <row r="100" spans="1:8" ht="13.5" hidden="1" thickBot="1" x14ac:dyDescent="0.25">
      <c r="A100" s="32">
        <f>A99</f>
        <v>2013</v>
      </c>
      <c r="B100" s="33" t="s">
        <v>9</v>
      </c>
      <c r="C100" s="78">
        <f>Indeks!H101</f>
        <v>109.06871627848055</v>
      </c>
      <c r="D100" s="148">
        <f t="shared" si="9"/>
        <v>-4.9530059762364093E-3</v>
      </c>
      <c r="E100" s="148"/>
      <c r="F100" s="148"/>
      <c r="G100" s="148"/>
      <c r="H100" s="78"/>
    </row>
    <row r="101" spans="1:8" ht="13.5" hidden="1" thickBot="1" x14ac:dyDescent="0.25">
      <c r="A101" s="63">
        <f t="shared" ref="A101:A110" si="11">A100</f>
        <v>2013</v>
      </c>
      <c r="B101" s="64" t="s">
        <v>10</v>
      </c>
      <c r="C101" s="139">
        <f>Indeks!H102</f>
        <v>109.30875268340239</v>
      </c>
      <c r="D101" s="91">
        <f t="shared" si="9"/>
        <v>2.200781425802825E-3</v>
      </c>
      <c r="E101" s="91">
        <f>(SUM(C99:C101)-SUM(C96:C98))/SUM(C96:C98)</f>
        <v>-2.7129094431690105E-3</v>
      </c>
      <c r="F101" s="91"/>
      <c r="G101" s="91"/>
      <c r="H101" s="139"/>
    </row>
    <row r="102" spans="1:8" ht="13.5" hidden="1" thickBot="1" x14ac:dyDescent="0.25">
      <c r="A102" s="70">
        <f t="shared" si="11"/>
        <v>2013</v>
      </c>
      <c r="B102" s="71" t="s">
        <v>11</v>
      </c>
      <c r="C102" s="76">
        <f>Indeks!H103</f>
        <v>109.98126889310322</v>
      </c>
      <c r="D102" s="180">
        <f t="shared" si="9"/>
        <v>6.1524461051045065E-3</v>
      </c>
      <c r="E102" s="180"/>
      <c r="F102" s="180"/>
      <c r="G102" s="180"/>
      <c r="H102" s="76"/>
    </row>
    <row r="103" spans="1:8" ht="13.5" hidden="1" thickBot="1" x14ac:dyDescent="0.25">
      <c r="A103" s="32">
        <f t="shared" si="11"/>
        <v>2013</v>
      </c>
      <c r="B103" s="33" t="s">
        <v>12</v>
      </c>
      <c r="C103" s="78">
        <f>Indeks!H104</f>
        <v>109.4734730209545</v>
      </c>
      <c r="D103" s="148">
        <f t="shared" si="9"/>
        <v>-4.6171123252112473E-3</v>
      </c>
      <c r="E103" s="148"/>
      <c r="F103" s="148"/>
      <c r="G103" s="148"/>
      <c r="H103" s="78"/>
    </row>
    <row r="104" spans="1:8" ht="13.5" hidden="1" thickBot="1" x14ac:dyDescent="0.25">
      <c r="A104" s="63">
        <f t="shared" si="11"/>
        <v>2013</v>
      </c>
      <c r="B104" s="64" t="s">
        <v>13</v>
      </c>
      <c r="C104" s="139">
        <f>Indeks!H105</f>
        <v>108.59665368749857</v>
      </c>
      <c r="D104" s="91">
        <f t="shared" si="9"/>
        <v>-8.0094228241767169E-3</v>
      </c>
      <c r="E104" s="91">
        <f>(SUM(C102:C104)-SUM(C99:C101))/SUM(C99:C101)</f>
        <v>1.8995551185516362E-4</v>
      </c>
      <c r="F104" s="91">
        <f>(SUM(C99:C104)-SUM(C93:C98))/SUM(C93:C98)</f>
        <v>2.7616242575935626E-3</v>
      </c>
      <c r="G104" s="91"/>
      <c r="H104" s="139"/>
    </row>
    <row r="105" spans="1:8" ht="13.5" hidden="1" thickBot="1" x14ac:dyDescent="0.25">
      <c r="A105" s="70">
        <f t="shared" si="11"/>
        <v>2013</v>
      </c>
      <c r="B105" s="75" t="s">
        <v>31</v>
      </c>
      <c r="C105" s="76">
        <f>Indeks!H106</f>
        <v>109.00738642005831</v>
      </c>
      <c r="D105" s="151">
        <f t="shared" si="9"/>
        <v>3.7821859018020505E-3</v>
      </c>
      <c r="E105" s="151"/>
      <c r="F105" s="151"/>
      <c r="G105" s="151"/>
      <c r="H105" s="76"/>
    </row>
    <row r="106" spans="1:8" ht="13.5" hidden="1" thickBot="1" x14ac:dyDescent="0.25">
      <c r="A106" s="32">
        <f t="shared" si="11"/>
        <v>2013</v>
      </c>
      <c r="B106" s="33" t="s">
        <v>14</v>
      </c>
      <c r="C106" s="78">
        <f>Indeks!H107</f>
        <v>109.18852485490916</v>
      </c>
      <c r="D106" s="148">
        <f t="shared" si="9"/>
        <v>1.6617078970487093E-3</v>
      </c>
      <c r="E106" s="148"/>
      <c r="F106" s="148"/>
      <c r="G106" s="148"/>
      <c r="H106" s="78"/>
    </row>
    <row r="107" spans="1:8" ht="13.5" hidden="1" thickBot="1" x14ac:dyDescent="0.25">
      <c r="A107" s="63">
        <f t="shared" si="11"/>
        <v>2013</v>
      </c>
      <c r="B107" s="64" t="s">
        <v>15</v>
      </c>
      <c r="C107" s="139">
        <f>Indeks!H108</f>
        <v>109.60588031131111</v>
      </c>
      <c r="D107" s="91">
        <f t="shared" si="9"/>
        <v>3.8223380795421127E-3</v>
      </c>
      <c r="E107" s="91">
        <f>(SUM(C105:C107)-SUM(C102:C104))/SUM(C102:C104)</f>
        <v>-7.6086862797830862E-4</v>
      </c>
      <c r="F107" s="91"/>
      <c r="G107" s="91"/>
      <c r="H107" s="139"/>
    </row>
    <row r="108" spans="1:8" ht="13.5" hidden="1" thickBot="1" x14ac:dyDescent="0.25">
      <c r="A108" s="70">
        <f t="shared" si="11"/>
        <v>2013</v>
      </c>
      <c r="B108" s="71" t="s">
        <v>16</v>
      </c>
      <c r="C108" s="76">
        <f>Indeks!H109</f>
        <v>109.84851052508078</v>
      </c>
      <c r="D108" s="148">
        <f t="shared" si="9"/>
        <v>2.2136605543474053E-3</v>
      </c>
      <c r="E108" s="151"/>
      <c r="F108" s="151"/>
      <c r="G108" s="151"/>
      <c r="H108" s="76"/>
    </row>
    <row r="109" spans="1:8" ht="13.5" hidden="1" thickBot="1" x14ac:dyDescent="0.25">
      <c r="A109" s="32">
        <f t="shared" si="11"/>
        <v>2013</v>
      </c>
      <c r="B109" s="33" t="s">
        <v>17</v>
      </c>
      <c r="C109" s="78">
        <f>Indeks!H110</f>
        <v>110.34369278648441</v>
      </c>
      <c r="D109" s="148">
        <f t="shared" si="9"/>
        <v>4.5078650501188785E-3</v>
      </c>
      <c r="E109" s="148"/>
      <c r="F109" s="148"/>
      <c r="G109" s="148"/>
      <c r="H109" s="78"/>
    </row>
    <row r="110" spans="1:8" ht="13.5" hidden="1" thickBot="1" x14ac:dyDescent="0.25">
      <c r="A110" s="72">
        <f t="shared" si="11"/>
        <v>2013</v>
      </c>
      <c r="B110" s="73" t="s">
        <v>18</v>
      </c>
      <c r="C110" s="135">
        <f>Indeks!H111</f>
        <v>109.90920777464092</v>
      </c>
      <c r="D110" s="138">
        <f t="shared" si="9"/>
        <v>-3.9375609141903802E-3</v>
      </c>
      <c r="E110" s="148">
        <f>(SUM(C108:C110)-SUM(C105:C107))/SUM(C105:C107)</f>
        <v>7.0152743485609121E-3</v>
      </c>
      <c r="F110" s="148">
        <f>(SUM(C105:C110)-SUM(C99:C104))/SUM(C99:C104)</f>
        <v>2.8393290349075133E-3</v>
      </c>
      <c r="G110" s="148">
        <f>(SUM(C99:C110)-SUM(C87:C98))/SUM(C87:C98)</f>
        <v>5.9491453862735005E-3</v>
      </c>
      <c r="H110" s="135">
        <f>(C99+C100+C101+C102+C103+C104+C105+C106+C107+C108+C109+C110)/12</f>
        <v>109.49530754497442</v>
      </c>
    </row>
    <row r="111" spans="1:8" ht="13.5" hidden="1" thickBot="1" x14ac:dyDescent="0.25">
      <c r="A111" s="74">
        <v>2014</v>
      </c>
      <c r="B111" s="33" t="s">
        <v>8</v>
      </c>
      <c r="C111" s="78">
        <f>Indeks!H112</f>
        <v>109.44285671614632</v>
      </c>
      <c r="D111" s="148">
        <f t="shared" ref="D111:D122" si="12">(C111-C110)/C110</f>
        <v>-4.2430572282060918E-3</v>
      </c>
      <c r="E111" s="156"/>
      <c r="F111" s="156"/>
      <c r="G111" s="156"/>
      <c r="H111" s="78"/>
    </row>
    <row r="112" spans="1:8" ht="13.5" hidden="1" thickBot="1" x14ac:dyDescent="0.25">
      <c r="A112" s="32">
        <f>A111</f>
        <v>2014</v>
      </c>
      <c r="B112" s="33" t="s">
        <v>9</v>
      </c>
      <c r="C112" s="78">
        <f>Indeks!H113</f>
        <v>109.6814511318544</v>
      </c>
      <c r="D112" s="148">
        <f t="shared" si="12"/>
        <v>2.1800821256603609E-3</v>
      </c>
      <c r="E112" s="148"/>
      <c r="F112" s="148"/>
      <c r="G112" s="148"/>
      <c r="H112" s="78"/>
    </row>
    <row r="113" spans="1:8" ht="13.5" hidden="1" thickBot="1" x14ac:dyDescent="0.25">
      <c r="A113" s="63">
        <f t="shared" ref="A113:A122" si="13">A112</f>
        <v>2014</v>
      </c>
      <c r="B113" s="64" t="s">
        <v>10</v>
      </c>
      <c r="C113" s="139">
        <f>Indeks!H114</f>
        <v>109.41882712501318</v>
      </c>
      <c r="D113" s="91">
        <f t="shared" si="12"/>
        <v>-2.394424983724058E-3</v>
      </c>
      <c r="E113" s="91">
        <f>(SUM(C111:C113)-SUM(C108:C110))/SUM(C108:C110)</f>
        <v>-4.7205981581981788E-3</v>
      </c>
      <c r="F113" s="91"/>
      <c r="G113" s="91"/>
      <c r="H113" s="139"/>
    </row>
    <row r="114" spans="1:8" ht="13.5" hidden="1" thickBot="1" x14ac:dyDescent="0.25">
      <c r="A114" s="70">
        <f t="shared" si="13"/>
        <v>2014</v>
      </c>
      <c r="B114" s="71" t="s">
        <v>11</v>
      </c>
      <c r="C114" s="76">
        <f>Indeks!H115</f>
        <v>109.7985019237603</v>
      </c>
      <c r="D114" s="148">
        <f t="shared" si="12"/>
        <v>3.4699220300847483E-3</v>
      </c>
      <c r="E114" s="151"/>
      <c r="F114" s="151"/>
      <c r="G114" s="151"/>
      <c r="H114" s="76"/>
    </row>
    <row r="115" spans="1:8" ht="13.5" hidden="1" thickBot="1" x14ac:dyDescent="0.25">
      <c r="A115" s="32">
        <f t="shared" si="13"/>
        <v>2014</v>
      </c>
      <c r="B115" s="33" t="s">
        <v>12</v>
      </c>
      <c r="C115" s="78">
        <f>Indeks!H116</f>
        <v>109.63274323931731</v>
      </c>
      <c r="D115" s="148">
        <f t="shared" si="12"/>
        <v>-1.5096625321726856E-3</v>
      </c>
      <c r="E115" s="148"/>
      <c r="F115" s="148"/>
      <c r="G115" s="148"/>
      <c r="H115" s="78"/>
    </row>
    <row r="116" spans="1:8" ht="13.5" hidden="1" thickBot="1" x14ac:dyDescent="0.25">
      <c r="A116" s="63">
        <f t="shared" si="13"/>
        <v>2014</v>
      </c>
      <c r="B116" s="64" t="s">
        <v>13</v>
      </c>
      <c r="C116" s="139">
        <f>Indeks!H117</f>
        <v>109.47986993556179</v>
      </c>
      <c r="D116" s="91">
        <f t="shared" si="12"/>
        <v>-1.3944128299499508E-3</v>
      </c>
      <c r="E116" s="91">
        <f>(SUM(C114:C116)-SUM(C111:C113))/SUM(C111:C113)</f>
        <v>1.120035960135659E-3</v>
      </c>
      <c r="F116" s="91">
        <f>(SUM(C111:C116)-SUM(C105:C110))/SUM(C105:C110)</f>
        <v>-6.8239917210854268E-4</v>
      </c>
      <c r="G116" s="91"/>
      <c r="H116" s="139"/>
    </row>
    <row r="117" spans="1:8" ht="13.5" hidden="1" thickBot="1" x14ac:dyDescent="0.25">
      <c r="A117" s="70">
        <f t="shared" si="13"/>
        <v>2014</v>
      </c>
      <c r="B117" s="75" t="s">
        <v>31</v>
      </c>
      <c r="C117" s="76">
        <f>Indeks!H118</f>
        <v>109.43855060393879</v>
      </c>
      <c r="D117" s="151">
        <f t="shared" si="12"/>
        <v>-3.7741487679260723E-4</v>
      </c>
      <c r="E117" s="151"/>
      <c r="F117" s="151"/>
      <c r="G117" s="151"/>
      <c r="H117" s="76"/>
    </row>
    <row r="118" spans="1:8" ht="13.5" hidden="1" thickBot="1" x14ac:dyDescent="0.25">
      <c r="A118" s="32">
        <f t="shared" si="13"/>
        <v>2014</v>
      </c>
      <c r="B118" s="33" t="s">
        <v>14</v>
      </c>
      <c r="C118" s="78">
        <f>Indeks!H119</f>
        <v>109.6545048519073</v>
      </c>
      <c r="D118" s="148">
        <f t="shared" si="12"/>
        <v>1.9732922884738852E-3</v>
      </c>
      <c r="E118" s="148"/>
      <c r="F118" s="148"/>
      <c r="G118" s="148"/>
      <c r="H118" s="78"/>
    </row>
    <row r="119" spans="1:8" ht="13.5" hidden="1" thickBot="1" x14ac:dyDescent="0.25">
      <c r="A119" s="63">
        <f t="shared" si="13"/>
        <v>2014</v>
      </c>
      <c r="B119" s="64" t="s">
        <v>15</v>
      </c>
      <c r="C119" s="139">
        <f>Indeks!H120</f>
        <v>109.46041207580026</v>
      </c>
      <c r="D119" s="91">
        <f t="shared" si="12"/>
        <v>-1.7700392370488664E-3</v>
      </c>
      <c r="E119" s="91">
        <f>(SUM(C117:C119)-SUM(C114:C116))/SUM(C114:C116)</f>
        <v>-1.0873684426439122E-3</v>
      </c>
      <c r="F119" s="91"/>
      <c r="G119" s="91"/>
      <c r="H119" s="139"/>
    </row>
    <row r="120" spans="1:8" ht="13.5" hidden="1" thickBot="1" x14ac:dyDescent="0.25">
      <c r="A120" s="70">
        <f t="shared" si="13"/>
        <v>2014</v>
      </c>
      <c r="B120" s="71" t="s">
        <v>16</v>
      </c>
      <c r="C120" s="76">
        <f>Indeks!H121</f>
        <v>109.67258252792017</v>
      </c>
      <c r="D120" s="148">
        <f t="shared" si="12"/>
        <v>1.938330471229913E-3</v>
      </c>
      <c r="E120" s="151"/>
      <c r="F120" s="151"/>
      <c r="G120" s="151"/>
      <c r="H120" s="76"/>
    </row>
    <row r="121" spans="1:8" ht="13.5" hidden="1" thickBot="1" x14ac:dyDescent="0.25">
      <c r="A121" s="32">
        <f t="shared" si="13"/>
        <v>2014</v>
      </c>
      <c r="B121" s="33" t="s">
        <v>17</v>
      </c>
      <c r="C121" s="78">
        <f>Indeks!H122</f>
        <v>109.46534073069375</v>
      </c>
      <c r="D121" s="148">
        <f t="shared" si="12"/>
        <v>-1.8896408970186978E-3</v>
      </c>
      <c r="E121" s="148"/>
      <c r="F121" s="148"/>
      <c r="G121" s="148"/>
      <c r="H121" s="78"/>
    </row>
    <row r="122" spans="1:8" ht="13.5" hidden="1" thickBot="1" x14ac:dyDescent="0.25">
      <c r="A122" s="72">
        <f t="shared" si="13"/>
        <v>2014</v>
      </c>
      <c r="B122" s="73" t="s">
        <v>18</v>
      </c>
      <c r="C122" s="135">
        <f>Indeks!H123</f>
        <v>108.97563640985736</v>
      </c>
      <c r="D122" s="138">
        <f t="shared" si="12"/>
        <v>-4.4736015762392245E-3</v>
      </c>
      <c r="E122" s="138">
        <f>(SUM(C120:C122)-SUM(C117:C119))/SUM(C117:C119)</f>
        <v>-1.3389232093028488E-3</v>
      </c>
      <c r="F122" s="138">
        <f>(SUM(C117:C122)-SUM(C111:C116))/SUM(C111:C116)</f>
        <v>-1.1973804587164043E-3</v>
      </c>
      <c r="G122" s="138">
        <f>(SUM(C111:C122)-SUM(C99:C110))/SUM(C99:C110)</f>
        <v>1.3515551188105187E-4</v>
      </c>
      <c r="H122" s="135">
        <f>(C111+C112+C113+C114+C115+C116+C117+C118+C119+C120+C121+C122)/12</f>
        <v>109.51010643931424</v>
      </c>
    </row>
    <row r="123" spans="1:8" ht="13.5" hidden="1" thickBot="1" x14ac:dyDescent="0.25">
      <c r="A123" s="87">
        <v>2015</v>
      </c>
      <c r="B123" s="88" t="s">
        <v>8</v>
      </c>
      <c r="C123" s="140">
        <f>Indeks!H124</f>
        <v>109.09102214962684</v>
      </c>
      <c r="D123" s="156">
        <f t="shared" ref="D123:D134" si="14">(C123-C122)/C122</f>
        <v>1.058821435421708E-3</v>
      </c>
      <c r="E123" s="156"/>
      <c r="F123" s="156"/>
      <c r="G123" s="156"/>
      <c r="H123" s="140"/>
    </row>
    <row r="124" spans="1:8" ht="13.5" hidden="1" thickBot="1" x14ac:dyDescent="0.25">
      <c r="A124" s="32">
        <f t="shared" ref="A124:A134" si="15">A123</f>
        <v>2015</v>
      </c>
      <c r="B124" s="33" t="s">
        <v>9</v>
      </c>
      <c r="C124" s="78">
        <f>Indeks!H125</f>
        <v>107.60102193343101</v>
      </c>
      <c r="D124" s="148">
        <f t="shared" si="14"/>
        <v>-1.3658321160032516E-2</v>
      </c>
      <c r="E124" s="148"/>
      <c r="F124" s="78"/>
      <c r="G124" s="148"/>
      <c r="H124" s="78"/>
    </row>
    <row r="125" spans="1:8" ht="13.5" hidden="1" thickBot="1" x14ac:dyDescent="0.25">
      <c r="A125" s="63">
        <f t="shared" si="15"/>
        <v>2015</v>
      </c>
      <c r="B125" s="64" t="s">
        <v>10</v>
      </c>
      <c r="C125" s="139">
        <f>Indeks!H126</f>
        <v>106.51656379649668</v>
      </c>
      <c r="D125" s="91">
        <f t="shared" si="14"/>
        <v>-1.0078511499688605E-2</v>
      </c>
      <c r="E125" s="91">
        <f>(SUM(C123:C125)-SUM(C120:C122))/SUM(C120:C122)</f>
        <v>-1.4948945706092674E-2</v>
      </c>
      <c r="F125" s="91"/>
      <c r="G125" s="91"/>
      <c r="H125" s="139"/>
    </row>
    <row r="126" spans="1:8" ht="13.5" hidden="1" thickBot="1" x14ac:dyDescent="0.25">
      <c r="A126" s="32">
        <f t="shared" si="15"/>
        <v>2015</v>
      </c>
      <c r="B126" s="33" t="s">
        <v>11</v>
      </c>
      <c r="C126" s="78">
        <f>Indeks!H127</f>
        <v>107.81647390481069</v>
      </c>
      <c r="D126" s="148">
        <f t="shared" si="14"/>
        <v>1.2203830671796069E-2</v>
      </c>
      <c r="E126" s="148"/>
      <c r="F126" s="148"/>
      <c r="G126" s="148"/>
      <c r="H126" s="78"/>
    </row>
    <row r="127" spans="1:8" ht="13.5" hidden="1" thickBot="1" x14ac:dyDescent="0.25">
      <c r="A127" s="32">
        <f t="shared" si="15"/>
        <v>2015</v>
      </c>
      <c r="B127" s="33" t="s">
        <v>12</v>
      </c>
      <c r="C127" s="78">
        <f>Indeks!H128</f>
        <v>108.0300435832911</v>
      </c>
      <c r="D127" s="148">
        <f t="shared" si="14"/>
        <v>1.9808631347837257E-3</v>
      </c>
      <c r="E127" s="148"/>
      <c r="F127" s="148"/>
      <c r="G127" s="148"/>
      <c r="H127" s="78"/>
    </row>
    <row r="128" spans="1:8" ht="13.5" hidden="1" thickBot="1" x14ac:dyDescent="0.25">
      <c r="A128" s="63">
        <f t="shared" si="15"/>
        <v>2015</v>
      </c>
      <c r="B128" s="64" t="s">
        <v>13</v>
      </c>
      <c r="C128" s="139">
        <f>Indeks!H129</f>
        <v>108.16294508673766</v>
      </c>
      <c r="D128" s="91">
        <f t="shared" si="14"/>
        <v>1.2302272501083856E-3</v>
      </c>
      <c r="E128" s="91">
        <f>(SUM(C126:C128)-SUM(C123:C125))/SUM(C123:C125)</f>
        <v>2.4778260100776685E-3</v>
      </c>
      <c r="F128" s="91">
        <f>(SUM(C123:C128)-SUM(C117:C122))/SUM(C117:C122)</f>
        <v>-1.4389266331845384E-2</v>
      </c>
      <c r="G128" s="91"/>
      <c r="H128" s="139"/>
    </row>
    <row r="129" spans="1:8" ht="13.5" hidden="1" thickBot="1" x14ac:dyDescent="0.25">
      <c r="A129" s="70">
        <f t="shared" si="15"/>
        <v>2015</v>
      </c>
      <c r="B129" s="75" t="s">
        <v>31</v>
      </c>
      <c r="C129" s="76">
        <f>Indeks!H130</f>
        <v>108.79099023339268</v>
      </c>
      <c r="D129" s="151">
        <f t="shared" si="14"/>
        <v>5.8064723196226955E-3</v>
      </c>
      <c r="E129" s="151"/>
      <c r="F129" s="151"/>
      <c r="G129" s="151"/>
      <c r="H129" s="76"/>
    </row>
    <row r="130" spans="1:8" ht="13.5" hidden="1" thickBot="1" x14ac:dyDescent="0.25">
      <c r="A130" s="32">
        <f t="shared" si="15"/>
        <v>2015</v>
      </c>
      <c r="B130" s="33" t="s">
        <v>14</v>
      </c>
      <c r="C130" s="78">
        <f>Indeks!H131</f>
        <v>108.81445242973098</v>
      </c>
      <c r="D130" s="148">
        <f t="shared" si="14"/>
        <v>2.15663046066282E-4</v>
      </c>
      <c r="E130" s="148"/>
      <c r="F130" s="148"/>
      <c r="G130" s="148"/>
      <c r="H130" s="78"/>
    </row>
    <row r="131" spans="1:8" ht="13.5" hidden="1" thickBot="1" x14ac:dyDescent="0.25">
      <c r="A131" s="63">
        <f t="shared" si="15"/>
        <v>2015</v>
      </c>
      <c r="B131" s="64" t="s">
        <v>15</v>
      </c>
      <c r="C131" s="139">
        <f>Indeks!H132</f>
        <v>108.30898762031161</v>
      </c>
      <c r="D131" s="91">
        <f t="shared" si="14"/>
        <v>-4.6451992187874014E-3</v>
      </c>
      <c r="E131" s="91">
        <f>(SUM(C129:C131)-SUM(C126:C128))/SUM(C126:C128)</f>
        <v>5.8793582553342341E-3</v>
      </c>
      <c r="F131" s="91"/>
      <c r="G131" s="91"/>
      <c r="H131" s="139"/>
    </row>
    <row r="132" spans="1:8" ht="13.5" hidden="1" thickBot="1" x14ac:dyDescent="0.25">
      <c r="A132" s="32">
        <f t="shared" si="15"/>
        <v>2015</v>
      </c>
      <c r="B132" s="33" t="s">
        <v>16</v>
      </c>
      <c r="C132" s="78">
        <f>Indeks!H133</f>
        <v>108.06715817417275</v>
      </c>
      <c r="D132" s="148">
        <f t="shared" si="14"/>
        <v>-2.2327735809573226E-3</v>
      </c>
      <c r="E132" s="148"/>
      <c r="F132" s="148"/>
      <c r="G132" s="148"/>
      <c r="H132" s="78"/>
    </row>
    <row r="133" spans="1:8" ht="13.5" hidden="1" thickBot="1" x14ac:dyDescent="0.25">
      <c r="A133" s="32">
        <f t="shared" si="15"/>
        <v>2015</v>
      </c>
      <c r="B133" s="33" t="s">
        <v>17</v>
      </c>
      <c r="C133" s="78">
        <f>Indeks!H134</f>
        <v>107.86511619099869</v>
      </c>
      <c r="D133" s="148">
        <f t="shared" si="14"/>
        <v>-1.8695965230104659E-3</v>
      </c>
      <c r="E133" s="148"/>
      <c r="F133" s="148"/>
      <c r="G133" s="148"/>
      <c r="H133" s="78"/>
    </row>
    <row r="134" spans="1:8" ht="13.5" hidden="1" thickBot="1" x14ac:dyDescent="0.25">
      <c r="A134" s="72">
        <f t="shared" si="15"/>
        <v>2015</v>
      </c>
      <c r="B134" s="73" t="s">
        <v>18</v>
      </c>
      <c r="C134" s="135">
        <f>Indeks!H135</f>
        <v>107.89207352797142</v>
      </c>
      <c r="D134" s="138">
        <f t="shared" si="14"/>
        <v>2.4991709947258989E-4</v>
      </c>
      <c r="E134" s="138">
        <f>(SUM(C132:C134)-SUM(C129:C131))/SUM(C129:C131)</f>
        <v>-6.4129789787911564E-3</v>
      </c>
      <c r="F134" s="138">
        <f>(SUM(C129:C134)-SUM(C123:C128))/SUM(C123:C128)</f>
        <v>3.8946806914931329E-3</v>
      </c>
      <c r="G134" s="138">
        <f>(SUM(C123:C134)-SUM(C111:C122))/SUM(C111:C122)</f>
        <v>-1.306152555145724E-2</v>
      </c>
      <c r="H134" s="135">
        <f>(C123+C124+C125+C126+C127+C128+C129+C130+C131+C132+C133+C134)/12</f>
        <v>108.07973738591433</v>
      </c>
    </row>
    <row r="135" spans="1:8" ht="13.5" hidden="1" thickBot="1" x14ac:dyDescent="0.25">
      <c r="A135" s="74">
        <v>2016</v>
      </c>
      <c r="B135" s="33" t="s">
        <v>8</v>
      </c>
      <c r="C135" s="140">
        <f>Indeks!H136</f>
        <v>107.87881342950875</v>
      </c>
      <c r="D135" s="156">
        <f t="shared" ref="D135:D146" si="16">(C135-C134)/C134</f>
        <v>-1.2290150730330122E-4</v>
      </c>
      <c r="E135" s="156"/>
      <c r="F135" s="156"/>
      <c r="G135" s="156"/>
      <c r="H135" s="140"/>
    </row>
    <row r="136" spans="1:8" ht="13.5" hidden="1" thickBot="1" x14ac:dyDescent="0.25">
      <c r="A136" s="32">
        <f>A135</f>
        <v>2016</v>
      </c>
      <c r="B136" s="33" t="s">
        <v>9</v>
      </c>
      <c r="C136" s="78">
        <f>Indeks!H137</f>
        <v>106.99342825452445</v>
      </c>
      <c r="D136" s="148">
        <f t="shared" si="16"/>
        <v>-8.2072201838115748E-3</v>
      </c>
      <c r="E136" s="148"/>
      <c r="F136" s="148"/>
      <c r="G136" s="148"/>
      <c r="H136" s="78"/>
    </row>
    <row r="137" spans="1:8" ht="13.5" hidden="1" thickBot="1" x14ac:dyDescent="0.25">
      <c r="A137" s="63">
        <f t="shared" ref="A137:A146" si="17">A136</f>
        <v>2016</v>
      </c>
      <c r="B137" s="64" t="s">
        <v>10</v>
      </c>
      <c r="C137" s="139">
        <f>Indeks!H138</f>
        <v>106.39519100504542</v>
      </c>
      <c r="D137" s="91">
        <f t="shared" si="16"/>
        <v>-5.5913457418701714E-3</v>
      </c>
      <c r="E137" s="91">
        <f>(SUM(C135:C137)-SUM(C132:C134))/SUM(C132:C134)</f>
        <v>-7.8959942965992867E-3</v>
      </c>
      <c r="F137" s="91"/>
      <c r="G137" s="91"/>
      <c r="H137" s="139"/>
    </row>
    <row r="138" spans="1:8" ht="13.5" hidden="1" thickBot="1" x14ac:dyDescent="0.25">
      <c r="A138" s="32">
        <f t="shared" si="17"/>
        <v>2016</v>
      </c>
      <c r="B138" s="33" t="s">
        <v>11</v>
      </c>
      <c r="C138" s="78">
        <f>Indeks!H139</f>
        <v>106.33366536060261</v>
      </c>
      <c r="D138" s="148">
        <f t="shared" si="16"/>
        <v>-5.7827467446242183E-4</v>
      </c>
      <c r="E138" s="148"/>
      <c r="F138" s="148"/>
      <c r="G138" s="148"/>
      <c r="H138" s="78"/>
    </row>
    <row r="139" spans="1:8" ht="13.5" hidden="1" thickBot="1" x14ac:dyDescent="0.25">
      <c r="A139" s="32">
        <f t="shared" si="17"/>
        <v>2016</v>
      </c>
      <c r="B139" s="33" t="s">
        <v>12</v>
      </c>
      <c r="C139" s="78">
        <f>Indeks!H140</f>
        <v>107.00406949674672</v>
      </c>
      <c r="D139" s="148">
        <f t="shared" si="16"/>
        <v>6.3047214056866675E-3</v>
      </c>
      <c r="E139" s="148"/>
      <c r="F139" s="148"/>
      <c r="G139" s="148"/>
      <c r="H139" s="78"/>
    </row>
    <row r="140" spans="1:8" ht="13.5" hidden="1" thickBot="1" x14ac:dyDescent="0.25">
      <c r="A140" s="63">
        <f t="shared" si="17"/>
        <v>2016</v>
      </c>
      <c r="B140" s="64" t="s">
        <v>13</v>
      </c>
      <c r="C140" s="139">
        <f>Indeks!H141</f>
        <v>106.93461364985474</v>
      </c>
      <c r="D140" s="91">
        <f t="shared" si="16"/>
        <v>-6.4909537757435831E-4</v>
      </c>
      <c r="E140" s="91">
        <f>(SUM(C138:C140)-SUM(C135:C137))/SUM(C135:C137)</f>
        <v>-3.0973702299841046E-3</v>
      </c>
      <c r="F140" s="91">
        <f>(SUM(C135:C140)-SUM(C129:C134))/SUM(C129:C134)</f>
        <v>-1.2618912793391996E-2</v>
      </c>
      <c r="G140" s="91"/>
      <c r="H140" s="139"/>
    </row>
    <row r="141" spans="1:8" ht="13.5" hidden="1" thickBot="1" x14ac:dyDescent="0.25">
      <c r="A141" s="70">
        <f t="shared" si="17"/>
        <v>2016</v>
      </c>
      <c r="B141" s="75" t="s">
        <v>31</v>
      </c>
      <c r="C141" s="76">
        <f>Indeks!H142</f>
        <v>107.71403946693806</v>
      </c>
      <c r="D141" s="151">
        <f t="shared" si="16"/>
        <v>7.2888075290145349E-3</v>
      </c>
      <c r="E141" s="151"/>
      <c r="F141" s="151"/>
      <c r="G141" s="151"/>
      <c r="H141" s="76"/>
    </row>
    <row r="142" spans="1:8" ht="13.5" hidden="1" thickBot="1" x14ac:dyDescent="0.25">
      <c r="A142" s="32">
        <f t="shared" si="17"/>
        <v>2016</v>
      </c>
      <c r="B142" s="33" t="s">
        <v>14</v>
      </c>
      <c r="C142" s="78">
        <f>Indeks!H143</f>
        <v>108.09652584565558</v>
      </c>
      <c r="D142" s="148">
        <f t="shared" si="16"/>
        <v>3.5509426682945743E-3</v>
      </c>
      <c r="E142" s="148"/>
      <c r="F142" s="148"/>
      <c r="G142" s="148"/>
      <c r="H142" s="78"/>
    </row>
    <row r="143" spans="1:8" ht="13.5" hidden="1" thickBot="1" x14ac:dyDescent="0.25">
      <c r="A143" s="63">
        <f t="shared" si="17"/>
        <v>2016</v>
      </c>
      <c r="B143" s="64" t="s">
        <v>15</v>
      </c>
      <c r="C143" s="139">
        <f>Indeks!H144</f>
        <v>107.66155947609626</v>
      </c>
      <c r="D143" s="91">
        <f t="shared" si="16"/>
        <v>-4.0238700194711275E-3</v>
      </c>
      <c r="E143" s="91">
        <f>(SUM(C141:C143)-SUM(C138:C140))/SUM(C138:C140)</f>
        <v>9.9907978206674186E-3</v>
      </c>
      <c r="F143" s="91"/>
      <c r="G143" s="91"/>
      <c r="H143" s="139"/>
    </row>
    <row r="144" spans="1:8" ht="13.5" hidden="1" thickBot="1" x14ac:dyDescent="0.25">
      <c r="A144" s="32">
        <f t="shared" si="17"/>
        <v>2016</v>
      </c>
      <c r="B144" s="33" t="s">
        <v>16</v>
      </c>
      <c r="C144" s="78">
        <f>Indeks!H145</f>
        <v>107.62900109168257</v>
      </c>
      <c r="D144" s="148">
        <f t="shared" si="16"/>
        <v>-3.0241420031556306E-4</v>
      </c>
      <c r="E144" s="148"/>
      <c r="F144" s="148"/>
      <c r="G144" s="148"/>
      <c r="H144" s="78"/>
    </row>
    <row r="145" spans="1:8" ht="13.5" hidden="1" thickBot="1" x14ac:dyDescent="0.25">
      <c r="A145" s="32">
        <f t="shared" si="17"/>
        <v>2016</v>
      </c>
      <c r="B145" s="33" t="s">
        <v>17</v>
      </c>
      <c r="C145" s="78">
        <f>Indeks!H146</f>
        <v>108.00141321946754</v>
      </c>
      <c r="D145" s="148">
        <f t="shared" si="16"/>
        <v>3.4601466519951613E-3</v>
      </c>
      <c r="E145" s="148"/>
      <c r="F145" s="148"/>
      <c r="G145" s="148"/>
      <c r="H145" s="78"/>
    </row>
    <row r="146" spans="1:8" ht="13.5" hidden="1" thickBot="1" x14ac:dyDescent="0.25">
      <c r="A146" s="72">
        <f t="shared" si="17"/>
        <v>2016</v>
      </c>
      <c r="B146" s="73" t="s">
        <v>18</v>
      </c>
      <c r="C146" s="135">
        <f>Indeks!H147</f>
        <v>108.91982850502217</v>
      </c>
      <c r="D146" s="138">
        <f t="shared" si="16"/>
        <v>8.5037339621504456E-3</v>
      </c>
      <c r="E146" s="138">
        <f>(SUM(C144:C146)-SUM(C141:C143))/SUM(C141:C143)</f>
        <v>3.3329549746726299E-3</v>
      </c>
      <c r="F146" s="138">
        <f>(SUM(C141:C146)-SUM(C135:C140))/SUM(C135:C140)</f>
        <v>1.0104730210948605E-2</v>
      </c>
      <c r="G146" s="138">
        <f>(SUM(C135:C146)-SUM(C123:C134))/SUM(C123:C134)</f>
        <v>-5.7015773791027789E-3</v>
      </c>
      <c r="H146" s="135">
        <f>(C135+C136+C137+C138+C139+C140+C141+C142+C143+C144+C145+C146)/12</f>
        <v>107.46351240009544</v>
      </c>
    </row>
    <row r="147" spans="1:8" ht="13.5" hidden="1" thickBot="1" x14ac:dyDescent="0.25">
      <c r="A147" s="74">
        <v>2017</v>
      </c>
      <c r="B147" s="33" t="s">
        <v>8</v>
      </c>
      <c r="C147" s="140">
        <f>Indeks!H148</f>
        <v>108.82413829511057</v>
      </c>
      <c r="D147" s="156">
        <f t="shared" ref="D147:D158" si="18">(C147-C146)/C146</f>
        <v>-8.7853801484073107E-4</v>
      </c>
      <c r="E147" s="156"/>
      <c r="F147" s="156"/>
      <c r="G147" s="156"/>
      <c r="H147" s="140"/>
    </row>
    <row r="148" spans="1:8" ht="13.5" hidden="1" thickBot="1" x14ac:dyDescent="0.25">
      <c r="A148" s="32">
        <f>A147</f>
        <v>2017</v>
      </c>
      <c r="B148" s="33" t="s">
        <v>9</v>
      </c>
      <c r="C148" s="78">
        <f>Indeks!H149</f>
        <v>109.63471583497558</v>
      </c>
      <c r="D148" s="148">
        <f t="shared" si="18"/>
        <v>7.4485086908464594E-3</v>
      </c>
      <c r="E148" s="148"/>
      <c r="F148" s="148"/>
      <c r="G148" s="148"/>
      <c r="H148" s="78"/>
    </row>
    <row r="149" spans="1:8" ht="13.5" hidden="1" thickBot="1" x14ac:dyDescent="0.25">
      <c r="A149" s="63">
        <f t="shared" ref="A149:A158" si="19">A148</f>
        <v>2017</v>
      </c>
      <c r="B149" s="64" t="s">
        <v>10</v>
      </c>
      <c r="C149" s="139">
        <f>Indeks!H150</f>
        <v>110.17791280294462</v>
      </c>
      <c r="D149" s="91">
        <f t="shared" si="18"/>
        <v>4.9546073415894058E-3</v>
      </c>
      <c r="E149" s="91">
        <f>(SUM(C147:C149)-SUM(C144:C146))/SUM(C144:C146)</f>
        <v>1.2591345122404079E-2</v>
      </c>
      <c r="F149" s="91"/>
      <c r="G149" s="91"/>
      <c r="H149" s="139"/>
    </row>
    <row r="150" spans="1:8" ht="13.5" hidden="1" thickBot="1" x14ac:dyDescent="0.25">
      <c r="A150" s="32">
        <f t="shared" si="19"/>
        <v>2017</v>
      </c>
      <c r="B150" s="33" t="s">
        <v>11</v>
      </c>
      <c r="C150" s="78">
        <f>Indeks!H151</f>
        <v>110.18666840076489</v>
      </c>
      <c r="D150" s="148">
        <f t="shared" si="18"/>
        <v>7.9467813443954505E-5</v>
      </c>
      <c r="E150" s="148"/>
      <c r="F150" s="148"/>
      <c r="G150" s="148"/>
      <c r="H150" s="78"/>
    </row>
    <row r="151" spans="1:8" ht="13.5" hidden="1" thickBot="1" x14ac:dyDescent="0.25">
      <c r="A151" s="32">
        <f t="shared" si="19"/>
        <v>2017</v>
      </c>
      <c r="B151" s="33" t="s">
        <v>12</v>
      </c>
      <c r="C151" s="78">
        <f>Indeks!H152</f>
        <v>109.81782942046338</v>
      </c>
      <c r="D151" s="148">
        <f t="shared" si="18"/>
        <v>-3.3474011480225845E-3</v>
      </c>
      <c r="E151" s="148"/>
      <c r="F151" s="148"/>
      <c r="G151" s="148"/>
      <c r="H151" s="78"/>
    </row>
    <row r="152" spans="1:8" ht="13.5" hidden="1" thickBot="1" x14ac:dyDescent="0.25">
      <c r="A152" s="63">
        <f t="shared" si="19"/>
        <v>2017</v>
      </c>
      <c r="B152" s="64" t="s">
        <v>13</v>
      </c>
      <c r="C152" s="139">
        <f>Indeks!H153</f>
        <v>110.22833861979277</v>
      </c>
      <c r="D152" s="91">
        <f t="shared" si="18"/>
        <v>3.7380924527077616E-3</v>
      </c>
      <c r="E152" s="91">
        <f>(SUM(C150:C152)-SUM(C147:C149))/SUM(C147:C149)</f>
        <v>4.8566370795497535E-3</v>
      </c>
      <c r="F152" s="91">
        <f>(SUM(C147:C152)-SUM(C141:C146))/SUM(C141:C146)</f>
        <v>1.6738983577498562E-2</v>
      </c>
      <c r="G152" s="91"/>
      <c r="H152" s="139"/>
    </row>
    <row r="153" spans="1:8" ht="13.5" hidden="1" thickBot="1" x14ac:dyDescent="0.25">
      <c r="A153" s="70">
        <f t="shared" si="19"/>
        <v>2017</v>
      </c>
      <c r="B153" s="75" t="s">
        <v>31</v>
      </c>
      <c r="C153" s="76">
        <f>Indeks!H154</f>
        <v>109.75058594376397</v>
      </c>
      <c r="D153" s="151">
        <f t="shared" si="18"/>
        <v>-4.334209169900469E-3</v>
      </c>
      <c r="E153" s="151"/>
      <c r="F153" s="151"/>
      <c r="G153" s="151"/>
      <c r="H153" s="76"/>
    </row>
    <row r="154" spans="1:8" ht="13.5" hidden="1" thickBot="1" x14ac:dyDescent="0.25">
      <c r="A154" s="32">
        <f t="shared" si="19"/>
        <v>2017</v>
      </c>
      <c r="B154" s="33" t="s">
        <v>14</v>
      </c>
      <c r="C154" s="78">
        <f>Indeks!H155</f>
        <v>109.14748480530514</v>
      </c>
      <c r="D154" s="148">
        <f t="shared" si="18"/>
        <v>-5.4951974358283017E-3</v>
      </c>
      <c r="E154" s="148"/>
      <c r="F154" s="148"/>
      <c r="G154" s="148"/>
      <c r="H154" s="78"/>
    </row>
    <row r="155" spans="1:8" ht="13.5" hidden="1" thickBot="1" x14ac:dyDescent="0.25">
      <c r="A155" s="63">
        <f t="shared" si="19"/>
        <v>2017</v>
      </c>
      <c r="B155" s="64" t="s">
        <v>15</v>
      </c>
      <c r="C155" s="139">
        <f>Indeks!H156</f>
        <v>109.22685315140764</v>
      </c>
      <c r="D155" s="91">
        <f t="shared" si="18"/>
        <v>7.2716605649753463E-4</v>
      </c>
      <c r="E155" s="91">
        <f>(SUM(C153:C155)-SUM(C150:C152))/SUM(C150:C152)</f>
        <v>-6.3831100603491146E-3</v>
      </c>
      <c r="F155" s="91"/>
      <c r="G155" s="91"/>
      <c r="H155" s="139"/>
    </row>
    <row r="156" spans="1:8" ht="13.5" hidden="1" thickBot="1" x14ac:dyDescent="0.25">
      <c r="A156" s="32">
        <f t="shared" si="19"/>
        <v>2017</v>
      </c>
      <c r="B156" s="33" t="s">
        <v>16</v>
      </c>
      <c r="C156" s="78">
        <f>Indeks!H157</f>
        <v>109.57887653833217</v>
      </c>
      <c r="D156" s="148">
        <f t="shared" si="18"/>
        <v>3.2228648612311708E-3</v>
      </c>
      <c r="E156" s="148"/>
      <c r="F156" s="148"/>
      <c r="G156" s="148"/>
      <c r="H156" s="78"/>
    </row>
    <row r="157" spans="1:8" ht="13.5" hidden="1" thickBot="1" x14ac:dyDescent="0.25">
      <c r="A157" s="32">
        <f t="shared" si="19"/>
        <v>2017</v>
      </c>
      <c r="B157" s="33" t="s">
        <v>17</v>
      </c>
      <c r="C157" s="78">
        <f>Indeks!H158</f>
        <v>110.02306842053328</v>
      </c>
      <c r="D157" s="148">
        <f t="shared" si="18"/>
        <v>4.05362690541663E-3</v>
      </c>
      <c r="E157" s="148"/>
      <c r="F157" s="148"/>
      <c r="G157" s="148"/>
      <c r="H157" s="78"/>
    </row>
    <row r="158" spans="1:8" ht="13.5" hidden="1" thickBot="1" x14ac:dyDescent="0.25">
      <c r="A158" s="72">
        <f t="shared" si="19"/>
        <v>2017</v>
      </c>
      <c r="B158" s="73" t="s">
        <v>18</v>
      </c>
      <c r="C158" s="135">
        <f>Indeks!H159</f>
        <v>110.56703978888491</v>
      </c>
      <c r="D158" s="138">
        <f t="shared" si="18"/>
        <v>4.9441574040859481E-3</v>
      </c>
      <c r="E158" s="138">
        <f>(SUM(C156:C158)-SUM(C153:C155))/SUM(C153:C155)</f>
        <v>6.2295202174084017E-3</v>
      </c>
      <c r="F158" s="138">
        <f>(SUM(C153:C158)-SUM(C147:C152))/SUM(C147:C152)</f>
        <v>-8.7376124634755816E-4</v>
      </c>
      <c r="G158" s="138">
        <f>(SUM(C147:C158)-SUM(C135:C146))/SUM(C135:C146)</f>
        <v>2.1403670421618313E-2</v>
      </c>
      <c r="H158" s="135">
        <f>(C147+C148+C149+C150+C151+C152+C153+C154+C155+C156+C157+C158)/12</f>
        <v>109.76362600185657</v>
      </c>
    </row>
    <row r="159" spans="1:8" ht="13.5" hidden="1" thickBot="1" x14ac:dyDescent="0.25">
      <c r="A159" s="74">
        <v>2018</v>
      </c>
      <c r="B159" s="33" t="s">
        <v>8</v>
      </c>
      <c r="C159" s="140">
        <f>Indeks!H160</f>
        <v>111.03285607145689</v>
      </c>
      <c r="D159" s="156">
        <f t="shared" ref="D159:D170" si="20">(C159-C158)/C158</f>
        <v>4.2129759778447651E-3</v>
      </c>
      <c r="E159" s="156"/>
      <c r="F159" s="156"/>
      <c r="G159" s="156"/>
      <c r="H159" s="140"/>
    </row>
    <row r="160" spans="1:8" ht="13.5" hidden="1" thickBot="1" x14ac:dyDescent="0.25">
      <c r="A160" s="32">
        <f>A159</f>
        <v>2018</v>
      </c>
      <c r="B160" s="33" t="s">
        <v>9</v>
      </c>
      <c r="C160" s="78">
        <f>Indeks!H161</f>
        <v>111.15248364784418</v>
      </c>
      <c r="D160" s="148">
        <f t="shared" si="20"/>
        <v>1.0774070002333314E-3</v>
      </c>
      <c r="E160" s="148"/>
      <c r="F160" s="148"/>
      <c r="G160" s="148"/>
      <c r="H160" s="78"/>
    </row>
    <row r="161" spans="1:8" ht="13.5" hidden="1" thickBot="1" x14ac:dyDescent="0.25">
      <c r="A161" s="63">
        <f t="shared" ref="A161:A170" si="21">A160</f>
        <v>2018</v>
      </c>
      <c r="B161" s="64" t="s">
        <v>10</v>
      </c>
      <c r="C161" s="139">
        <f>Indeks!H162</f>
        <v>111.60193835031187</v>
      </c>
      <c r="D161" s="91">
        <f t="shared" si="20"/>
        <v>4.0435866812626791E-3</v>
      </c>
      <c r="E161" s="91">
        <f>(SUM(C159:C161)-SUM(C156:C158))/SUM(C156:C158)</f>
        <v>1.0958913432244201E-2</v>
      </c>
      <c r="F161" s="91"/>
      <c r="G161" s="91"/>
      <c r="H161" s="139"/>
    </row>
    <row r="162" spans="1:8" ht="13.5" hidden="1" thickBot="1" x14ac:dyDescent="0.25">
      <c r="A162" s="32">
        <f t="shared" si="21"/>
        <v>2018</v>
      </c>
      <c r="B162" s="33" t="s">
        <v>11</v>
      </c>
      <c r="C162" s="78">
        <f>Indeks!H163</f>
        <v>111.47338915006364</v>
      </c>
      <c r="D162" s="148">
        <f t="shared" si="20"/>
        <v>-1.1518545479445143E-3</v>
      </c>
      <c r="E162" s="148"/>
      <c r="F162" s="148"/>
      <c r="G162" s="148"/>
      <c r="H162" s="78"/>
    </row>
    <row r="163" spans="1:8" ht="13.5" hidden="1" thickBot="1" x14ac:dyDescent="0.25">
      <c r="A163" s="32">
        <f t="shared" si="21"/>
        <v>2018</v>
      </c>
      <c r="B163" s="33" t="s">
        <v>12</v>
      </c>
      <c r="C163" s="78">
        <f>Indeks!H164</f>
        <v>111.47381500418471</v>
      </c>
      <c r="D163" s="148">
        <f t="shared" si="20"/>
        <v>3.820231216821694E-6</v>
      </c>
      <c r="E163" s="148"/>
      <c r="F163" s="148"/>
      <c r="G163" s="148"/>
      <c r="H163" s="78"/>
    </row>
    <row r="164" spans="1:8" ht="13.5" hidden="1" thickBot="1" x14ac:dyDescent="0.25">
      <c r="A164" s="63">
        <f t="shared" si="21"/>
        <v>2018</v>
      </c>
      <c r="B164" s="64" t="s">
        <v>13</v>
      </c>
      <c r="C164" s="139">
        <f>Indeks!H165</f>
        <v>112.21998969287162</v>
      </c>
      <c r="D164" s="91">
        <f t="shared" si="20"/>
        <v>6.6937216480739909E-3</v>
      </c>
      <c r="E164" s="91">
        <f>(SUM(C162:C164)-SUM(C159:C161))/SUM(C159:C161)</f>
        <v>4.1341173500904467E-3</v>
      </c>
      <c r="F164" s="91">
        <f>(SUM(C159:C164)-SUM(C153:C158))/SUM(C153:C158)</f>
        <v>1.619423046219089E-2</v>
      </c>
      <c r="G164" s="91"/>
      <c r="H164" s="139"/>
    </row>
    <row r="165" spans="1:8" ht="13.5" hidden="1" thickBot="1" x14ac:dyDescent="0.25">
      <c r="A165" s="70">
        <f t="shared" si="21"/>
        <v>2018</v>
      </c>
      <c r="B165" s="75" t="s">
        <v>31</v>
      </c>
      <c r="C165" s="76">
        <f>Indeks!H166</f>
        <v>113.54964250169532</v>
      </c>
      <c r="D165" s="151">
        <f t="shared" si="20"/>
        <v>1.1848627080279948E-2</v>
      </c>
      <c r="E165" s="151"/>
      <c r="F165" s="151"/>
      <c r="G165" s="151"/>
      <c r="H165" s="76"/>
    </row>
    <row r="166" spans="1:8" ht="13.5" hidden="1" thickBot="1" x14ac:dyDescent="0.25">
      <c r="A166" s="32">
        <f t="shared" si="21"/>
        <v>2018</v>
      </c>
      <c r="B166" s="33" t="s">
        <v>14</v>
      </c>
      <c r="C166" s="78">
        <f>Indeks!H167</f>
        <v>113.31218632829508</v>
      </c>
      <c r="D166" s="148">
        <f t="shared" si="20"/>
        <v>-2.0912102246089192E-3</v>
      </c>
      <c r="E166" s="148"/>
      <c r="F166" s="148"/>
      <c r="G166" s="148"/>
      <c r="H166" s="78"/>
    </row>
    <row r="167" spans="1:8" ht="13.5" hidden="1" thickBot="1" x14ac:dyDescent="0.25">
      <c r="A167" s="63">
        <f t="shared" si="21"/>
        <v>2018</v>
      </c>
      <c r="B167" s="64" t="s">
        <v>15</v>
      </c>
      <c r="C167" s="139">
        <f>Indeks!H168</f>
        <v>113.58114205607819</v>
      </c>
      <c r="D167" s="91">
        <f t="shared" si="20"/>
        <v>2.373581664057503E-3</v>
      </c>
      <c r="E167" s="91">
        <f>(SUM(C165:C167)-SUM(C162:C164))/SUM(C162:C164)</f>
        <v>1.5740732195153467E-2</v>
      </c>
      <c r="F167" s="91"/>
      <c r="G167" s="91"/>
      <c r="H167" s="139"/>
    </row>
    <row r="168" spans="1:8" ht="13.5" hidden="1" thickBot="1" x14ac:dyDescent="0.25">
      <c r="A168" s="32">
        <f t="shared" si="21"/>
        <v>2018</v>
      </c>
      <c r="B168" s="33" t="s">
        <v>16</v>
      </c>
      <c r="C168" s="78">
        <f>Indeks!H169</f>
        <v>114.22947809124688</v>
      </c>
      <c r="D168" s="148">
        <f t="shared" si="20"/>
        <v>5.7081309751981623E-3</v>
      </c>
      <c r="E168" s="148"/>
      <c r="F168" s="148"/>
      <c r="G168" s="148"/>
      <c r="H168" s="78"/>
    </row>
    <row r="169" spans="1:8" ht="13.5" hidden="1" thickBot="1" x14ac:dyDescent="0.25">
      <c r="A169" s="32">
        <f t="shared" si="21"/>
        <v>2018</v>
      </c>
      <c r="B169" s="33" t="s">
        <v>17</v>
      </c>
      <c r="C169" s="78">
        <f>Indeks!H170</f>
        <v>114.3150610558983</v>
      </c>
      <c r="D169" s="148">
        <f t="shared" si="20"/>
        <v>7.4921960672059095E-4</v>
      </c>
      <c r="E169" s="148"/>
      <c r="F169" s="148"/>
      <c r="G169" s="148"/>
      <c r="H169" s="78"/>
    </row>
    <row r="170" spans="1:8" ht="13.5" hidden="1" thickBot="1" x14ac:dyDescent="0.25">
      <c r="A170" s="72">
        <f t="shared" si="21"/>
        <v>2018</v>
      </c>
      <c r="B170" s="73" t="s">
        <v>18</v>
      </c>
      <c r="C170" s="135">
        <f>Indeks!H171</f>
        <v>115.21063260362148</v>
      </c>
      <c r="D170" s="138">
        <f t="shared" si="20"/>
        <v>7.8342393333915867E-3</v>
      </c>
      <c r="E170" s="138">
        <f>(SUM(C168:C170)-SUM(C165:C167))/SUM(C165:C167)</f>
        <v>9.7290916480884532E-3</v>
      </c>
      <c r="F170" s="138">
        <f>(SUM(C165:C170)-SUM(C159:C164))/SUM(C159:C164)</f>
        <v>2.2787306700297692E-2</v>
      </c>
      <c r="G170" s="138">
        <f>(SUM(C159:C170)-SUM(C147:C158))/SUM(C147:C158)</f>
        <v>2.7323185164789595E-2</v>
      </c>
      <c r="H170" s="135">
        <f>(C159+C160+C161+C162+C163+C164+C165+C166+C167+C168+C169+C170)/12</f>
        <v>112.76271787946401</v>
      </c>
    </row>
    <row r="171" spans="1:8" ht="13.5" hidden="1" thickBot="1" x14ac:dyDescent="0.25">
      <c r="A171" s="74">
        <v>2019</v>
      </c>
      <c r="B171" s="33" t="s">
        <v>8</v>
      </c>
      <c r="C171" s="140">
        <f>Indeks!H172</f>
        <v>115.32447919702147</v>
      </c>
      <c r="D171" s="156">
        <f t="shared" ref="D171:D182" si="22">(C171-C170)/C170</f>
        <v>9.8816047466455405E-4</v>
      </c>
      <c r="E171" s="156"/>
      <c r="F171" s="156"/>
      <c r="G171" s="156"/>
      <c r="H171" s="140"/>
    </row>
    <row r="172" spans="1:8" ht="13.5" hidden="1" thickBot="1" x14ac:dyDescent="0.25">
      <c r="A172" s="32">
        <f>A171</f>
        <v>2019</v>
      </c>
      <c r="B172" s="33" t="s">
        <v>9</v>
      </c>
      <c r="C172" s="78">
        <f>Indeks!H173</f>
        <v>114.05886841449308</v>
      </c>
      <c r="D172" s="148">
        <f t="shared" si="22"/>
        <v>-1.0974346394976702E-2</v>
      </c>
      <c r="E172" s="148"/>
      <c r="F172" s="148"/>
      <c r="G172" s="148"/>
      <c r="H172" s="78"/>
    </row>
    <row r="173" spans="1:8" ht="13.5" hidden="1" thickBot="1" x14ac:dyDescent="0.25">
      <c r="A173" s="63">
        <f t="shared" ref="A173:A182" si="23">A172</f>
        <v>2019</v>
      </c>
      <c r="B173" s="64" t="s">
        <v>10</v>
      </c>
      <c r="C173" s="139">
        <f>Indeks!H174</f>
        <v>113.76792809580697</v>
      </c>
      <c r="D173" s="91">
        <f t="shared" si="22"/>
        <v>-2.5507908567778009E-3</v>
      </c>
      <c r="E173" s="91">
        <f>(SUM(C171:C173)-SUM(C168:C170))/SUM(C168:C170)</f>
        <v>-1.7567620593733145E-3</v>
      </c>
      <c r="F173" s="91"/>
      <c r="G173" s="91"/>
      <c r="H173" s="139"/>
    </row>
    <row r="174" spans="1:8" ht="13.5" hidden="1" thickBot="1" x14ac:dyDescent="0.25">
      <c r="A174" s="32">
        <f t="shared" si="23"/>
        <v>2019</v>
      </c>
      <c r="B174" s="33" t="s">
        <v>11</v>
      </c>
      <c r="C174" s="78">
        <f>Indeks!H175</f>
        <v>114.42548718976133</v>
      </c>
      <c r="D174" s="148">
        <f t="shared" si="22"/>
        <v>5.7798283308861335E-3</v>
      </c>
      <c r="E174" s="148"/>
      <c r="F174" s="148"/>
      <c r="G174" s="148"/>
      <c r="H174" s="78"/>
    </row>
    <row r="175" spans="1:8" ht="13.5" hidden="1" thickBot="1" x14ac:dyDescent="0.25">
      <c r="A175" s="32">
        <f t="shared" si="23"/>
        <v>2019</v>
      </c>
      <c r="B175" s="33" t="s">
        <v>12</v>
      </c>
      <c r="C175" s="78">
        <f>Indeks!H176</f>
        <v>114.90814252864151</v>
      </c>
      <c r="D175" s="148">
        <f t="shared" si="22"/>
        <v>4.218075454463662E-3</v>
      </c>
      <c r="E175" s="148"/>
      <c r="F175" s="148"/>
      <c r="G175" s="148"/>
      <c r="H175" s="78"/>
    </row>
    <row r="176" spans="1:8" ht="13.5" hidden="1" thickBot="1" x14ac:dyDescent="0.25">
      <c r="A176" s="63">
        <f t="shared" si="23"/>
        <v>2019</v>
      </c>
      <c r="B176" s="64" t="s">
        <v>13</v>
      </c>
      <c r="C176" s="139">
        <f>Indeks!H177</f>
        <v>115.12966981526006</v>
      </c>
      <c r="D176" s="91">
        <f t="shared" si="22"/>
        <v>1.9278641334171422E-3</v>
      </c>
      <c r="E176" s="91">
        <f>(SUM(C174:C176)-SUM(C171:C173))/SUM(C171:C173)</f>
        <v>3.8234560650749765E-3</v>
      </c>
      <c r="F176" s="91">
        <f>(SUM(C171:C176)-SUM(C165:C170))/SUM(C165:C170)</f>
        <v>4.9933380277570275E-3</v>
      </c>
      <c r="G176" s="91"/>
      <c r="H176" s="139"/>
    </row>
    <row r="177" spans="1:8" ht="13.5" hidden="1" thickBot="1" x14ac:dyDescent="0.25">
      <c r="A177" s="70">
        <f t="shared" si="23"/>
        <v>2019</v>
      </c>
      <c r="B177" s="75" t="s">
        <v>31</v>
      </c>
      <c r="C177" s="76">
        <f>Indeks!H178</f>
        <v>115.4227270377541</v>
      </c>
      <c r="D177" s="151">
        <f t="shared" si="22"/>
        <v>2.5454535131064731E-3</v>
      </c>
      <c r="E177" s="151"/>
      <c r="F177" s="151"/>
      <c r="G177" s="151"/>
      <c r="H177" s="76"/>
    </row>
    <row r="178" spans="1:8" ht="13.5" hidden="1" thickBot="1" x14ac:dyDescent="0.25">
      <c r="A178" s="32">
        <f t="shared" si="23"/>
        <v>2019</v>
      </c>
      <c r="B178" s="33" t="s">
        <v>14</v>
      </c>
      <c r="C178" s="78">
        <f>Indeks!H179</f>
        <v>114.35614575682416</v>
      </c>
      <c r="D178" s="148">
        <f t="shared" si="22"/>
        <v>-9.2406522381078878E-3</v>
      </c>
      <c r="E178" s="148"/>
      <c r="F178" s="148"/>
      <c r="G178" s="148"/>
      <c r="H178" s="78"/>
    </row>
    <row r="179" spans="1:8" ht="13.5" hidden="1" thickBot="1" x14ac:dyDescent="0.25">
      <c r="A179" s="63">
        <f t="shared" si="23"/>
        <v>2019</v>
      </c>
      <c r="B179" s="64" t="s">
        <v>15</v>
      </c>
      <c r="C179" s="139">
        <f>Indeks!H180</f>
        <v>114.43021496834194</v>
      </c>
      <c r="D179" s="91">
        <f t="shared" si="22"/>
        <v>6.4770643525611073E-4</v>
      </c>
      <c r="E179" s="91">
        <f>(SUM(C177:C179)-SUM(C174:C176))/SUM(C174:C176)</f>
        <v>-7.379937749155092E-4</v>
      </c>
      <c r="F179" s="91"/>
      <c r="G179" s="91"/>
      <c r="H179" s="139"/>
    </row>
    <row r="180" spans="1:8" ht="13.5" hidden="1" thickBot="1" x14ac:dyDescent="0.25">
      <c r="A180" s="32">
        <f t="shared" si="23"/>
        <v>2019</v>
      </c>
      <c r="B180" s="33" t="s">
        <v>16</v>
      </c>
      <c r="C180" s="78">
        <f>Indeks!H181</f>
        <v>114.7158339003598</v>
      </c>
      <c r="D180" s="148">
        <f t="shared" si="22"/>
        <v>2.4960097479225498E-3</v>
      </c>
      <c r="E180" s="148"/>
      <c r="F180" s="148"/>
      <c r="G180" s="148"/>
      <c r="H180" s="78"/>
    </row>
    <row r="181" spans="1:8" ht="13.5" hidden="1" thickBot="1" x14ac:dyDescent="0.25">
      <c r="A181" s="32">
        <f t="shared" si="23"/>
        <v>2019</v>
      </c>
      <c r="B181" s="33" t="s">
        <v>17</v>
      </c>
      <c r="C181" s="78">
        <f>Indeks!H182</f>
        <v>115.32625709959333</v>
      </c>
      <c r="D181" s="148">
        <f t="shared" si="22"/>
        <v>5.3211764974287704E-3</v>
      </c>
      <c r="E181" s="148"/>
      <c r="F181" s="148"/>
      <c r="G181" s="148"/>
      <c r="H181" s="78"/>
    </row>
    <row r="182" spans="1:8" ht="13.5" hidden="1" thickBot="1" x14ac:dyDescent="0.25">
      <c r="A182" s="72">
        <f t="shared" si="23"/>
        <v>2019</v>
      </c>
      <c r="B182" s="73" t="s">
        <v>18</v>
      </c>
      <c r="C182" s="135">
        <f>Indeks!H183</f>
        <v>115.35850327339361</v>
      </c>
      <c r="D182" s="138">
        <f t="shared" si="22"/>
        <v>2.7960825757509215E-4</v>
      </c>
      <c r="E182" s="138">
        <f>(SUM(C180:C182)-SUM(C177:C179))/SUM(C177:C179)</f>
        <v>3.4615777235005303E-3</v>
      </c>
      <c r="F182" s="138">
        <f>(SUM(C177:C182)-SUM(C171:C176))/SUM(C171:C176)</f>
        <v>2.9014899729012688E-3</v>
      </c>
      <c r="G182" s="138">
        <f>(SUM(C171:C182)-SUM(C159:C170))/SUM(C159:C170)</f>
        <v>1.7789303634183726E-2</v>
      </c>
      <c r="H182" s="135">
        <f>(C171+C172+C173+C174+C175+C176+C177+C178+C179+C180+C181+C182)/12</f>
        <v>114.76868810643759</v>
      </c>
    </row>
    <row r="183" spans="1:8" ht="13.5" hidden="1" thickBot="1" x14ac:dyDescent="0.25">
      <c r="A183" s="74">
        <v>2020</v>
      </c>
      <c r="B183" s="33" t="s">
        <v>8</v>
      </c>
      <c r="C183" s="140">
        <f>Indeks!H184</f>
        <v>115.49528725236792</v>
      </c>
      <c r="D183" s="156">
        <f t="shared" ref="D183:D194" si="24">(C183-C182)/C182</f>
        <v>1.1857294875795711E-3</v>
      </c>
      <c r="E183" s="156"/>
      <c r="F183" s="156"/>
      <c r="G183" s="156"/>
      <c r="H183" s="140"/>
    </row>
    <row r="184" spans="1:8" ht="13.5" hidden="1" thickBot="1" x14ac:dyDescent="0.25">
      <c r="A184" s="32">
        <f>A183</f>
        <v>2020</v>
      </c>
      <c r="B184" s="33" t="s">
        <v>9</v>
      </c>
      <c r="C184" s="78">
        <f>Indeks!H185</f>
        <v>115.95946691988824</v>
      </c>
      <c r="D184" s="148">
        <f t="shared" si="24"/>
        <v>4.019035569010284E-3</v>
      </c>
      <c r="E184" s="148"/>
      <c r="F184" s="148"/>
      <c r="G184" s="148"/>
      <c r="H184" s="78"/>
    </row>
    <row r="185" spans="1:8" ht="13.5" hidden="1" thickBot="1" x14ac:dyDescent="0.25">
      <c r="A185" s="63">
        <f t="shared" ref="A185:A194" si="25">A184</f>
        <v>2020</v>
      </c>
      <c r="B185" s="64" t="s">
        <v>10</v>
      </c>
      <c r="C185" s="139">
        <f>Indeks!H186</f>
        <v>116.635540417017</v>
      </c>
      <c r="D185" s="91">
        <f t="shared" si="24"/>
        <v>5.8302570293448045E-3</v>
      </c>
      <c r="E185" s="91">
        <f>(SUM(C183:C185)-SUM(C180:C182))/SUM(C180:C182)</f>
        <v>7.7871907591386845E-3</v>
      </c>
      <c r="F185" s="91"/>
      <c r="G185" s="91"/>
      <c r="H185" s="139"/>
    </row>
    <row r="186" spans="1:8" ht="13.5" hidden="1" thickBot="1" x14ac:dyDescent="0.25">
      <c r="A186" s="32">
        <f t="shared" si="25"/>
        <v>2020</v>
      </c>
      <c r="B186" s="33" t="s">
        <v>11</v>
      </c>
      <c r="C186" s="78">
        <f>Indeks!H187</f>
        <v>115.67789442141986</v>
      </c>
      <c r="D186" s="148">
        <f t="shared" si="24"/>
        <v>-8.2105848026526023E-3</v>
      </c>
      <c r="E186" s="148"/>
      <c r="F186" s="148"/>
      <c r="G186" s="148"/>
      <c r="H186" s="78"/>
    </row>
    <row r="187" spans="1:8" ht="13.5" hidden="1" thickBot="1" x14ac:dyDescent="0.25">
      <c r="A187" s="32">
        <f t="shared" si="25"/>
        <v>2020</v>
      </c>
      <c r="B187" s="33" t="s">
        <v>12</v>
      </c>
      <c r="C187" s="78">
        <f>Indeks!H188</f>
        <v>114.87188483156237</v>
      </c>
      <c r="D187" s="148">
        <f t="shared" si="24"/>
        <v>-6.9677062665159332E-3</v>
      </c>
      <c r="E187" s="148"/>
      <c r="F187" s="148"/>
      <c r="G187" s="148"/>
      <c r="H187" s="78"/>
    </row>
    <row r="188" spans="1:8" ht="13.5" hidden="1" thickBot="1" x14ac:dyDescent="0.25">
      <c r="A188" s="63">
        <f t="shared" si="25"/>
        <v>2020</v>
      </c>
      <c r="B188" s="64" t="s">
        <v>13</v>
      </c>
      <c r="C188" s="139">
        <f>Indeks!H189</f>
        <v>113.29293158687308</v>
      </c>
      <c r="D188" s="91">
        <f t="shared" si="24"/>
        <v>-1.3745341142478166E-2</v>
      </c>
      <c r="E188" s="91">
        <f>(SUM(C186:C188)-SUM(C183:C185))/SUM(C183:C185)</f>
        <v>-1.2202534271832441E-2</v>
      </c>
      <c r="F188" s="91">
        <f>(SUM(C183:C188)-SUM(C177:C182))/SUM(C177:C182)</f>
        <v>3.369041145132107E-3</v>
      </c>
      <c r="G188" s="91"/>
      <c r="H188" s="139"/>
    </row>
    <row r="189" spans="1:8" ht="13.5" hidden="1" thickBot="1" x14ac:dyDescent="0.25">
      <c r="A189" s="70">
        <f t="shared" si="25"/>
        <v>2020</v>
      </c>
      <c r="B189" s="75" t="s">
        <v>31</v>
      </c>
      <c r="C189" s="76">
        <f>Indeks!H190</f>
        <v>112.72071229548855</v>
      </c>
      <c r="D189" s="151">
        <f t="shared" si="24"/>
        <v>-5.0507942849528044E-3</v>
      </c>
      <c r="E189" s="151"/>
      <c r="F189" s="151"/>
      <c r="G189" s="151"/>
      <c r="H189" s="76"/>
    </row>
    <row r="190" spans="1:8" ht="13.5" hidden="1" thickBot="1" x14ac:dyDescent="0.25">
      <c r="A190" s="32">
        <f t="shared" si="25"/>
        <v>2020</v>
      </c>
      <c r="B190" s="33" t="s">
        <v>14</v>
      </c>
      <c r="C190" s="78">
        <f>Indeks!H191</f>
        <v>113.49243885353881</v>
      </c>
      <c r="D190" s="148">
        <f t="shared" si="24"/>
        <v>6.8463598422554344E-3</v>
      </c>
      <c r="E190" s="148"/>
      <c r="F190" s="148"/>
      <c r="G190" s="148"/>
      <c r="H190" s="78"/>
    </row>
    <row r="191" spans="1:8" ht="13.5" hidden="1" thickBot="1" x14ac:dyDescent="0.25">
      <c r="A191" s="63">
        <f t="shared" si="25"/>
        <v>2020</v>
      </c>
      <c r="B191" s="64" t="s">
        <v>15</v>
      </c>
      <c r="C191" s="139">
        <f>Indeks!H192</f>
        <v>114.07119691049098</v>
      </c>
      <c r="D191" s="91">
        <f t="shared" si="24"/>
        <v>5.0995296497157059E-3</v>
      </c>
      <c r="E191" s="91">
        <f>(SUM(C189:C191)-SUM(C186:C188))/SUM(C186:C188)</f>
        <v>-1.034880969744988E-2</v>
      </c>
      <c r="F191" s="91"/>
      <c r="G191" s="91"/>
      <c r="H191" s="139"/>
    </row>
    <row r="192" spans="1:8" ht="13.5" hidden="1" thickBot="1" x14ac:dyDescent="0.25">
      <c r="A192" s="70">
        <f t="shared" si="25"/>
        <v>2020</v>
      </c>
      <c r="B192" s="71" t="s">
        <v>16</v>
      </c>
      <c r="C192" s="76">
        <f>Indeks!H193</f>
        <v>114.34913890532042</v>
      </c>
      <c r="D192" s="151">
        <f t="shared" si="24"/>
        <v>2.4365659549231162E-3</v>
      </c>
      <c r="E192" s="151"/>
      <c r="F192" s="151"/>
      <c r="G192" s="151"/>
      <c r="H192" s="76"/>
    </row>
    <row r="193" spans="1:27" ht="13.5" hidden="1" thickBot="1" x14ac:dyDescent="0.25">
      <c r="A193" s="32">
        <f t="shared" si="25"/>
        <v>2020</v>
      </c>
      <c r="B193" s="33" t="s">
        <v>17</v>
      </c>
      <c r="C193" s="78">
        <f>Indeks!H194</f>
        <v>113.86439011534036</v>
      </c>
      <c r="D193" s="148">
        <f t="shared" si="24"/>
        <v>-4.2391993032971191E-3</v>
      </c>
      <c r="E193" s="148"/>
      <c r="F193" s="148"/>
      <c r="G193" s="148"/>
      <c r="H193" s="78"/>
    </row>
    <row r="194" spans="1:27" ht="13.5" hidden="1" thickBot="1" x14ac:dyDescent="0.25">
      <c r="A194" s="72">
        <f t="shared" si="25"/>
        <v>2020</v>
      </c>
      <c r="B194" s="73" t="s">
        <v>18</v>
      </c>
      <c r="C194" s="135">
        <f>Indeks!H195</f>
        <v>113.74134760862323</v>
      </c>
      <c r="D194" s="138">
        <f t="shared" si="24"/>
        <v>-1.0806056800768823E-3</v>
      </c>
      <c r="E194" s="138">
        <f>(SUM(C192:C194)-SUM(C189:C191))/SUM(C189:C191)</f>
        <v>4.9092136599636774E-3</v>
      </c>
      <c r="F194" s="138">
        <f>(SUM(C189:C194)-SUM(C183:C188))/SUM(C183:C188)</f>
        <v>-1.400970999253646E-2</v>
      </c>
      <c r="G194" s="138">
        <f>(SUM(C183:C194)-SUM(C171:C182))/SUM(C171:C182)</f>
        <v>-2.2160713066106154E-3</v>
      </c>
      <c r="H194" s="135">
        <f>(C183+C184+C185+C186+C187+C188+C189+C190+C191+C192+C193+C194)/12</f>
        <v>114.51435250982757</v>
      </c>
    </row>
    <row r="195" spans="1:27" ht="13.5" hidden="1" thickBot="1" x14ac:dyDescent="0.25">
      <c r="A195" s="74">
        <v>2021</v>
      </c>
      <c r="B195" s="33" t="s">
        <v>8</v>
      </c>
      <c r="C195" s="140">
        <f>Indeks!H196</f>
        <v>114.33872793080046</v>
      </c>
      <c r="D195" s="156">
        <f t="shared" ref="D195:D206" si="26">(C195-C194)/C194</f>
        <v>5.2520946404888561E-3</v>
      </c>
      <c r="E195" s="156"/>
      <c r="F195" s="156"/>
      <c r="G195" s="156"/>
      <c r="H195" s="140"/>
    </row>
    <row r="196" spans="1:27" ht="13.5" hidden="1" thickBot="1" x14ac:dyDescent="0.25">
      <c r="A196" s="32">
        <f>A195</f>
        <v>2021</v>
      </c>
      <c r="B196" s="33" t="s">
        <v>9</v>
      </c>
      <c r="C196" s="78">
        <f>Indeks!H197</f>
        <v>114.96785702200084</v>
      </c>
      <c r="D196" s="148">
        <f t="shared" si="26"/>
        <v>5.5023271868228371E-3</v>
      </c>
      <c r="E196" s="148"/>
      <c r="F196" s="148"/>
      <c r="G196" s="148"/>
      <c r="H196" s="78"/>
    </row>
    <row r="197" spans="1:27" ht="13.5" hidden="1" thickBot="1" x14ac:dyDescent="0.25">
      <c r="A197" s="63">
        <f t="shared" ref="A197:A206" si="27">A196</f>
        <v>2021</v>
      </c>
      <c r="B197" s="64" t="s">
        <v>10</v>
      </c>
      <c r="C197" s="139">
        <f>Indeks!H198</f>
        <v>115.65629152022137</v>
      </c>
      <c r="D197" s="91">
        <f t="shared" si="26"/>
        <v>5.9880606288833255E-3</v>
      </c>
      <c r="E197" s="91">
        <f>(SUM(C195:C197)-SUM(C192:C194))/SUM(C192:C194)</f>
        <v>8.796481785518357E-3</v>
      </c>
      <c r="F197" s="91"/>
      <c r="G197" s="91"/>
      <c r="H197" s="139"/>
    </row>
    <row r="198" spans="1:27" ht="13.5" hidden="1" thickBot="1" x14ac:dyDescent="0.25">
      <c r="A198" s="32">
        <f t="shared" si="27"/>
        <v>2021</v>
      </c>
      <c r="B198" s="33" t="s">
        <v>11</v>
      </c>
      <c r="C198" s="78">
        <f>Indeks!H199</f>
        <v>117.04269769478231</v>
      </c>
      <c r="D198" s="148">
        <f t="shared" si="26"/>
        <v>1.1987295773862266E-2</v>
      </c>
      <c r="E198" s="148"/>
      <c r="F198" s="148"/>
      <c r="G198" s="148"/>
      <c r="H198" s="78"/>
    </row>
    <row r="199" spans="1:27" ht="13.5" hidden="1" thickBot="1" x14ac:dyDescent="0.25">
      <c r="A199" s="32">
        <f t="shared" si="27"/>
        <v>2021</v>
      </c>
      <c r="B199" s="33" t="s">
        <v>12</v>
      </c>
      <c r="C199" s="78">
        <f>Indeks!H200</f>
        <v>117.88261404066569</v>
      </c>
      <c r="D199" s="148">
        <f t="shared" si="26"/>
        <v>7.1761533391315885E-3</v>
      </c>
      <c r="E199" s="148"/>
      <c r="F199" s="148"/>
      <c r="G199" s="148"/>
      <c r="H199" s="78"/>
    </row>
    <row r="200" spans="1:27" ht="13.5" hidden="1" thickBot="1" x14ac:dyDescent="0.25">
      <c r="A200" s="63">
        <f t="shared" si="27"/>
        <v>2021</v>
      </c>
      <c r="B200" s="64" t="s">
        <v>13</v>
      </c>
      <c r="C200" s="139">
        <f>Indeks!H201</f>
        <v>117.52325873951575</v>
      </c>
      <c r="D200" s="91">
        <f t="shared" si="26"/>
        <v>-3.0484164613618636E-3</v>
      </c>
      <c r="E200" s="91">
        <f>(SUM(C198:C200)-SUM(C195:C197))/SUM(C195:C197)</f>
        <v>2.1699998789656613E-2</v>
      </c>
      <c r="F200" s="91">
        <f>(SUM(C195:C200)-SUM(C189:C194))/SUM(C189:C194)</f>
        <v>2.2238859494050293E-2</v>
      </c>
      <c r="G200" s="91"/>
      <c r="H200" s="139"/>
    </row>
    <row r="201" spans="1:27" ht="13.5" hidden="1" thickBot="1" x14ac:dyDescent="0.25">
      <c r="A201" s="70">
        <f t="shared" si="27"/>
        <v>2021</v>
      </c>
      <c r="B201" s="75" t="s">
        <v>31</v>
      </c>
      <c r="C201" s="76">
        <f>Indeks!H202</f>
        <v>118.60971933724922</v>
      </c>
      <c r="D201" s="151">
        <f t="shared" si="26"/>
        <v>9.2446432254022787E-3</v>
      </c>
      <c r="E201" s="151"/>
      <c r="F201" s="151"/>
      <c r="G201" s="151"/>
      <c r="H201" s="76"/>
    </row>
    <row r="202" spans="1:27" ht="13.5" hidden="1" thickBot="1" x14ac:dyDescent="0.25">
      <c r="A202" s="32">
        <f t="shared" si="27"/>
        <v>2021</v>
      </c>
      <c r="B202" s="33" t="s">
        <v>14</v>
      </c>
      <c r="C202" s="78">
        <f>Indeks!H203</f>
        <v>119.02629947809577</v>
      </c>
      <c r="D202" s="148">
        <f t="shared" si="26"/>
        <v>3.5121922821692571E-3</v>
      </c>
      <c r="E202" s="148"/>
      <c r="F202" s="148"/>
      <c r="G202" s="148"/>
      <c r="H202" s="78"/>
    </row>
    <row r="203" spans="1:27" ht="13.5" hidden="1" thickBot="1" x14ac:dyDescent="0.25">
      <c r="A203" s="63">
        <f t="shared" si="27"/>
        <v>2021</v>
      </c>
      <c r="B203" s="64" t="s">
        <v>15</v>
      </c>
      <c r="C203" s="139">
        <f>Indeks!H204</f>
        <v>119.4318469042836</v>
      </c>
      <c r="D203" s="91">
        <f t="shared" si="26"/>
        <v>3.4072085578235561E-3</v>
      </c>
      <c r="E203" s="91">
        <f>(SUM(C201:C203)-SUM(C198:C200))/SUM(C198:C200)</f>
        <v>1.3106295873011558E-2</v>
      </c>
      <c r="F203" s="91"/>
      <c r="G203" s="91"/>
      <c r="H203" s="139"/>
    </row>
    <row r="204" spans="1:27" ht="13.5" hidden="1" thickBot="1" x14ac:dyDescent="0.25">
      <c r="A204" s="70">
        <f t="shared" si="27"/>
        <v>2021</v>
      </c>
      <c r="B204" s="71" t="s">
        <v>16</v>
      </c>
      <c r="C204" s="76">
        <f>Indeks!H205</f>
        <v>120.23852615706711</v>
      </c>
      <c r="D204" s="151">
        <f t="shared" si="26"/>
        <v>6.7543061058915749E-3</v>
      </c>
      <c r="E204" s="151"/>
      <c r="F204" s="151"/>
      <c r="G204" s="151"/>
      <c r="H204" s="76"/>
    </row>
    <row r="205" spans="1:27" ht="13.5" hidden="1" thickBot="1" x14ac:dyDescent="0.25">
      <c r="A205" s="32">
        <f t="shared" si="27"/>
        <v>2021</v>
      </c>
      <c r="B205" s="33" t="s">
        <v>17</v>
      </c>
      <c r="C205" s="78">
        <f>Indeks!H206</f>
        <v>120.86643200403309</v>
      </c>
      <c r="D205" s="148">
        <f t="shared" si="26"/>
        <v>5.222168526464988E-3</v>
      </c>
      <c r="E205" s="148"/>
      <c r="F205" s="148"/>
      <c r="G205" s="148"/>
      <c r="H205" s="78"/>
    </row>
    <row r="206" spans="1:27" ht="13.5" hidden="1" thickBot="1" x14ac:dyDescent="0.25">
      <c r="A206" s="72">
        <f t="shared" si="27"/>
        <v>2021</v>
      </c>
      <c r="B206" s="73" t="s">
        <v>18</v>
      </c>
      <c r="C206" s="135">
        <f>Indeks!H207</f>
        <v>122.87693223945699</v>
      </c>
      <c r="D206" s="138">
        <f t="shared" si="26"/>
        <v>1.6634066234012916E-2</v>
      </c>
      <c r="E206" s="138">
        <f>(SUM(C204:C206)-SUM(C201:C203))/SUM(C201:C203)</f>
        <v>1.9363334941928188E-2</v>
      </c>
      <c r="F206" s="138">
        <f>(SUM(C201:C206)-SUM(C195:C200))/SUM(C195:C200)</f>
        <v>3.3894352144125776E-2</v>
      </c>
      <c r="G206" s="138">
        <f>(SUM(C195:C206)-SUM(C183:C194))/SUM(C183:C194)</f>
        <v>3.2229564809674836E-2</v>
      </c>
      <c r="H206" s="135">
        <f>(C195+C196+C197+C198+C199+C200+C201+C202+C203+C204+C205+C206)/12</f>
        <v>118.20510025568102</v>
      </c>
    </row>
    <row r="207" spans="1:27" ht="13.5" hidden="1" thickBot="1" x14ac:dyDescent="0.25">
      <c r="A207" s="74">
        <v>2022</v>
      </c>
      <c r="B207" s="33" t="s">
        <v>8</v>
      </c>
      <c r="C207" s="140">
        <f>Indeks!H208</f>
        <v>123.40793614752444</v>
      </c>
      <c r="D207" s="156">
        <f t="shared" ref="D207:D218" si="28">(C207-C206)/C206</f>
        <v>4.3214287530604261E-3</v>
      </c>
      <c r="E207" s="156"/>
      <c r="F207" s="156"/>
      <c r="G207" s="156"/>
      <c r="H207" s="140"/>
    </row>
    <row r="208" spans="1:27" ht="13.5" hidden="1" thickBot="1" x14ac:dyDescent="0.25">
      <c r="A208" s="32">
        <f>A207</f>
        <v>2022</v>
      </c>
      <c r="B208" s="33" t="s">
        <v>9</v>
      </c>
      <c r="C208" s="78">
        <f>Indeks!H209</f>
        <v>122.83057063615095</v>
      </c>
      <c r="D208" s="148">
        <f t="shared" si="28"/>
        <v>-4.6785120098215664E-3</v>
      </c>
      <c r="E208" s="148"/>
      <c r="F208" s="148"/>
      <c r="G208" s="148"/>
      <c r="H208" s="78"/>
      <c r="W208" s="67"/>
      <c r="X208" s="67"/>
      <c r="Y208" s="67"/>
      <c r="Z208" s="67"/>
      <c r="AA208" s="67"/>
    </row>
    <row r="209" spans="1:27" ht="13.5" hidden="1" thickBot="1" x14ac:dyDescent="0.25">
      <c r="A209" s="63">
        <f t="shared" ref="A209:A218" si="29">A208</f>
        <v>2022</v>
      </c>
      <c r="B209" s="64" t="s">
        <v>10</v>
      </c>
      <c r="C209" s="139">
        <f>Indeks!H210</f>
        <v>124.16274130176751</v>
      </c>
      <c r="D209" s="91">
        <f t="shared" si="28"/>
        <v>1.0845595349082261E-2</v>
      </c>
      <c r="E209" s="91">
        <f>(SUM(C207:C209)-SUM(C204:C206))/SUM(C204:C206)</f>
        <v>1.7636475479099661E-2</v>
      </c>
      <c r="F209" s="91"/>
      <c r="G209" s="91"/>
      <c r="H209" s="139"/>
      <c r="W209" s="67"/>
      <c r="X209" s="67"/>
      <c r="Y209" s="67"/>
      <c r="Z209" s="67"/>
      <c r="AA209" s="67"/>
    </row>
    <row r="210" spans="1:27" ht="13.5" hidden="1" thickBot="1" x14ac:dyDescent="0.25">
      <c r="A210" s="70">
        <f t="shared" si="29"/>
        <v>2022</v>
      </c>
      <c r="B210" s="71" t="s">
        <v>11</v>
      </c>
      <c r="C210" s="76">
        <f>Indeks!H211</f>
        <v>125.87533793282556</v>
      </c>
      <c r="D210" s="151">
        <f t="shared" si="28"/>
        <v>1.3793160597958451E-2</v>
      </c>
      <c r="E210" s="151"/>
      <c r="F210" s="151"/>
      <c r="G210" s="151"/>
      <c r="H210" s="76"/>
      <c r="W210" s="67"/>
      <c r="X210" s="67"/>
      <c r="Y210" s="67"/>
      <c r="Z210" s="67"/>
      <c r="AA210" s="67"/>
    </row>
    <row r="211" spans="1:27" ht="13.5" hidden="1" thickBot="1" x14ac:dyDescent="0.25">
      <c r="A211" s="32">
        <f t="shared" si="29"/>
        <v>2022</v>
      </c>
      <c r="B211" s="33" t="s">
        <v>12</v>
      </c>
      <c r="C211" s="78">
        <f>Indeks!H212</f>
        <v>130.16336141122974</v>
      </c>
      <c r="D211" s="148">
        <f t="shared" si="28"/>
        <v>3.4065636278112911E-2</v>
      </c>
      <c r="E211" s="148"/>
      <c r="F211" s="148"/>
      <c r="G211" s="148"/>
      <c r="H211" s="78"/>
      <c r="W211" s="67"/>
      <c r="X211" s="67"/>
      <c r="Y211" s="67"/>
      <c r="Z211" s="67"/>
      <c r="AA211" s="67"/>
    </row>
    <row r="212" spans="1:27" ht="13.5" hidden="1" thickBot="1" x14ac:dyDescent="0.25">
      <c r="A212" s="72">
        <f t="shared" si="29"/>
        <v>2022</v>
      </c>
      <c r="B212" s="73" t="s">
        <v>13</v>
      </c>
      <c r="C212" s="135">
        <f>Indeks!H213</f>
        <v>130.74571637608227</v>
      </c>
      <c r="D212" s="138">
        <f t="shared" si="28"/>
        <v>4.4740313905437066E-3</v>
      </c>
      <c r="E212" s="138">
        <f>(SUM(C210:C212)-SUM(C207:C209))/SUM(C207:C209)</f>
        <v>4.423086509394112E-2</v>
      </c>
      <c r="F212" s="138">
        <f>(SUM(C207:C212)-SUM(C201:C206))/SUM(C201:C206)</f>
        <v>5.0115692264892257E-2</v>
      </c>
      <c r="G212" s="138"/>
      <c r="H212" s="135"/>
    </row>
    <row r="213" spans="1:27" ht="13.5" hidden="1" thickBot="1" x14ac:dyDescent="0.25">
      <c r="A213" s="70">
        <f t="shared" si="29"/>
        <v>2022</v>
      </c>
      <c r="B213" s="75" t="s">
        <v>31</v>
      </c>
      <c r="C213" s="76">
        <f>Indeks!H214</f>
        <v>132.91404464500877</v>
      </c>
      <c r="D213" s="151">
        <f t="shared" si="28"/>
        <v>1.6584315945689831E-2</v>
      </c>
      <c r="E213" s="151"/>
      <c r="F213" s="151"/>
      <c r="G213" s="151"/>
      <c r="H213" s="76"/>
    </row>
    <row r="214" spans="1:27" ht="13.5" hidden="1" thickBot="1" x14ac:dyDescent="0.25">
      <c r="A214" s="32">
        <f t="shared" si="29"/>
        <v>2022</v>
      </c>
      <c r="B214" s="33" t="s">
        <v>14</v>
      </c>
      <c r="C214" s="78">
        <f>Indeks!H215</f>
        <v>136.28907741092232</v>
      </c>
      <c r="D214" s="148">
        <f>(C214-C213)/C213</f>
        <v>2.5392596959393526E-2</v>
      </c>
      <c r="E214" s="148"/>
      <c r="F214" s="148"/>
      <c r="G214" s="148"/>
      <c r="H214" s="78"/>
      <c r="W214" s="67"/>
      <c r="X214" s="67"/>
      <c r="Y214" s="67"/>
      <c r="Z214" s="67"/>
      <c r="AA214" s="67"/>
    </row>
    <row r="215" spans="1:27" ht="13.5" hidden="1" thickBot="1" x14ac:dyDescent="0.25">
      <c r="A215" s="63">
        <f t="shared" si="29"/>
        <v>2022</v>
      </c>
      <c r="B215" s="64" t="s">
        <v>15</v>
      </c>
      <c r="C215" s="139">
        <f>Indeks!H216</f>
        <v>134.90429434343835</v>
      </c>
      <c r="D215" s="91">
        <f t="shared" si="28"/>
        <v>-1.0160631312432583E-2</v>
      </c>
      <c r="E215" s="91">
        <f>(SUM(C213:C215)-SUM(C210:C212))/SUM(C210:C212)</f>
        <v>4.4787225066911913E-2</v>
      </c>
      <c r="F215" s="91"/>
      <c r="G215" s="91"/>
      <c r="H215" s="139"/>
      <c r="W215" s="67"/>
      <c r="X215" s="67"/>
      <c r="Y215" s="67"/>
      <c r="Z215" s="67"/>
      <c r="AA215" s="67"/>
    </row>
    <row r="216" spans="1:27" ht="13.5" hidden="1" thickBot="1" x14ac:dyDescent="0.25">
      <c r="A216" s="70">
        <f t="shared" si="29"/>
        <v>2022</v>
      </c>
      <c r="B216" s="71" t="s">
        <v>16</v>
      </c>
      <c r="C216" s="76">
        <f>Indeks!H217</f>
        <v>134.36089140688597</v>
      </c>
      <c r="D216" s="151">
        <f t="shared" si="28"/>
        <v>-4.0280625549917008E-3</v>
      </c>
      <c r="E216" s="151"/>
      <c r="F216" s="151"/>
      <c r="G216" s="151"/>
      <c r="H216" s="76"/>
      <c r="W216" s="67"/>
      <c r="X216" s="67"/>
      <c r="Y216" s="67"/>
      <c r="Z216" s="67"/>
      <c r="AA216" s="67"/>
    </row>
    <row r="217" spans="1:27" ht="13.5" hidden="1" thickBot="1" x14ac:dyDescent="0.25">
      <c r="A217" s="32">
        <f t="shared" si="29"/>
        <v>2022</v>
      </c>
      <c r="B217" s="33" t="s">
        <v>17</v>
      </c>
      <c r="C217" s="78">
        <f>Indeks!H218</f>
        <v>135.57627280042649</v>
      </c>
      <c r="D217" s="148">
        <f t="shared" si="28"/>
        <v>9.0456484830840986E-3</v>
      </c>
      <c r="E217" s="148"/>
      <c r="F217" s="148"/>
      <c r="G217" s="148"/>
      <c r="H217" s="78"/>
      <c r="W217" s="67"/>
      <c r="X217" s="67"/>
      <c r="Y217" s="67"/>
      <c r="Z217" s="67"/>
      <c r="AA217" s="67"/>
    </row>
    <row r="218" spans="1:27" ht="13.5" hidden="1" thickBot="1" x14ac:dyDescent="0.25">
      <c r="A218" s="72">
        <f t="shared" si="29"/>
        <v>2022</v>
      </c>
      <c r="B218" s="73" t="s">
        <v>18</v>
      </c>
      <c r="C218" s="135">
        <f>Indeks!H219</f>
        <v>138.03666081619983</v>
      </c>
      <c r="D218" s="138">
        <f t="shared" si="28"/>
        <v>1.8147629854046211E-2</v>
      </c>
      <c r="E218" s="138">
        <f>(SUM(C216:C218)-SUM(C213:C215))/SUM(C213:C215)</f>
        <v>9.5677744758878702E-3</v>
      </c>
      <c r="F218" s="138">
        <f>(SUM(C213:C218)-SUM(C207:C212))/SUM(C207:C212)</f>
        <v>7.249949416817858E-2</v>
      </c>
      <c r="G218" s="138">
        <f>(SUM(C207:C218)-SUM(C195:C206))/SUM(C195:C206)</f>
        <v>0.10631640952469697</v>
      </c>
      <c r="H218" s="135">
        <f>(C207+C208+C209+C210+C211+C212+C213+C214+C215+C216+C217+C218)/12</f>
        <v>130.77224210237185</v>
      </c>
    </row>
    <row r="219" spans="1:27" x14ac:dyDescent="0.2">
      <c r="A219" s="74">
        <v>2023</v>
      </c>
      <c r="B219" s="33" t="s">
        <v>8</v>
      </c>
      <c r="C219" s="140">
        <f>Indeks!H220</f>
        <v>135.99397395594627</v>
      </c>
      <c r="D219" s="156">
        <f t="shared" ref="D219:D230" si="30">(C219-C218)/C218</f>
        <v>-1.4798147449926042E-2</v>
      </c>
      <c r="E219" s="156"/>
      <c r="F219" s="156"/>
      <c r="G219" s="156"/>
      <c r="H219" s="140"/>
    </row>
    <row r="220" spans="1:27" x14ac:dyDescent="0.2">
      <c r="A220" s="32">
        <f>A219</f>
        <v>2023</v>
      </c>
      <c r="B220" s="33" t="s">
        <v>9</v>
      </c>
      <c r="C220" s="78">
        <f>Indeks!H221</f>
        <v>133.67715512445682</v>
      </c>
      <c r="D220" s="148">
        <f t="shared" si="30"/>
        <v>-1.7036187443422779E-2</v>
      </c>
      <c r="E220" s="148"/>
      <c r="F220" s="148"/>
      <c r="G220" s="148"/>
      <c r="H220" s="78"/>
      <c r="W220" s="67"/>
      <c r="X220" s="67"/>
      <c r="Y220" s="67"/>
      <c r="Z220" s="67"/>
      <c r="AA220" s="67"/>
    </row>
    <row r="221" spans="1:27" x14ac:dyDescent="0.2">
      <c r="A221" s="224">
        <f t="shared" ref="A221:A230" si="31">A220</f>
        <v>2023</v>
      </c>
      <c r="B221" s="64" t="s">
        <v>10</v>
      </c>
      <c r="C221" s="139">
        <f>Indeks!H222</f>
        <v>134.84297792753796</v>
      </c>
      <c r="D221" s="91">
        <f t="shared" si="30"/>
        <v>8.7211820299117754E-3</v>
      </c>
      <c r="E221" s="91">
        <f>(SUM(C219:C221)-SUM(C216:C218))/SUM(C216:C218)</f>
        <v>-8.4802450632019116E-3</v>
      </c>
      <c r="F221" s="91"/>
      <c r="G221" s="91"/>
      <c r="H221" s="139"/>
    </row>
    <row r="222" spans="1:27" x14ac:dyDescent="0.2">
      <c r="A222" s="70">
        <f t="shared" si="31"/>
        <v>2023</v>
      </c>
      <c r="B222" s="71" t="s">
        <v>11</v>
      </c>
      <c r="C222" s="76">
        <f>Indeks!H223</f>
        <v>134.86015752764487</v>
      </c>
      <c r="D222" s="151">
        <f t="shared" si="30"/>
        <v>1.2740448461577277E-4</v>
      </c>
      <c r="E222" s="151"/>
      <c r="F222" s="151"/>
      <c r="G222" s="151"/>
      <c r="H222" s="76"/>
      <c r="W222" s="67"/>
      <c r="X222" s="67"/>
      <c r="Y222" s="67"/>
      <c r="Z222" s="67"/>
      <c r="AA222" s="67"/>
    </row>
    <row r="223" spans="1:27" x14ac:dyDescent="0.2">
      <c r="A223" s="223">
        <f t="shared" si="31"/>
        <v>2023</v>
      </c>
      <c r="B223" s="33" t="s">
        <v>12</v>
      </c>
      <c r="C223" s="78">
        <f>Indeks!H224</f>
        <v>134.02118502417233</v>
      </c>
      <c r="D223" s="148">
        <f t="shared" si="30"/>
        <v>-6.2210553424614451E-3</v>
      </c>
      <c r="E223" s="148"/>
      <c r="F223" s="148"/>
      <c r="G223" s="148"/>
      <c r="H223" s="78"/>
    </row>
    <row r="224" spans="1:27" ht="13.5" thickBot="1" x14ac:dyDescent="0.25">
      <c r="A224" s="72">
        <f t="shared" si="31"/>
        <v>2023</v>
      </c>
      <c r="B224" s="73" t="s">
        <v>13</v>
      </c>
      <c r="C224" s="135">
        <f>Indeks!H225</f>
        <v>133.15006720616859</v>
      </c>
      <c r="D224" s="138">
        <f t="shared" si="30"/>
        <v>-6.4998516305211206E-3</v>
      </c>
      <c r="E224" s="138">
        <f>(SUM(C222:C224)-SUM(C219:C221))/SUM(C219:C221)</f>
        <v>-6.1374800209539476E-3</v>
      </c>
      <c r="F224" s="138">
        <f>(SUM(C219:C224)-SUM(C213:C218))/SUM(C213:C218)</f>
        <v>-6.8167128786961635E-3</v>
      </c>
      <c r="G224" s="138"/>
      <c r="H224" s="135"/>
    </row>
    <row r="225" spans="1:27" x14ac:dyDescent="0.2">
      <c r="A225" s="225">
        <f t="shared" si="31"/>
        <v>2023</v>
      </c>
      <c r="B225" s="75" t="s">
        <v>31</v>
      </c>
      <c r="C225" s="76">
        <f>Indeks!H226</f>
        <v>132.55975256527307</v>
      </c>
      <c r="D225" s="151">
        <f t="shared" si="30"/>
        <v>-4.4334535707103691E-3</v>
      </c>
      <c r="E225" s="151"/>
      <c r="F225" s="151"/>
      <c r="G225" s="151"/>
      <c r="H225" s="76"/>
    </row>
    <row r="226" spans="1:27" x14ac:dyDescent="0.2">
      <c r="A226" s="223">
        <f t="shared" si="31"/>
        <v>2023</v>
      </c>
      <c r="B226" s="33" t="s">
        <v>14</v>
      </c>
      <c r="C226" s="78">
        <f>Indeks!H227</f>
        <v>133.487318017577</v>
      </c>
      <c r="D226" s="148">
        <f t="shared" si="30"/>
        <v>6.9973384406189646E-3</v>
      </c>
      <c r="E226" s="148"/>
      <c r="F226" s="148"/>
      <c r="G226" s="148"/>
      <c r="H226" s="78"/>
    </row>
    <row r="227" spans="1:27" x14ac:dyDescent="0.2">
      <c r="A227" s="224">
        <f t="shared" si="31"/>
        <v>2023</v>
      </c>
      <c r="B227" s="64" t="s">
        <v>15</v>
      </c>
      <c r="C227" s="139">
        <f>Indeks!H228</f>
        <v>134.01592181249458</v>
      </c>
      <c r="D227" s="91">
        <f t="shared" si="30"/>
        <v>3.9599551685350533E-3</v>
      </c>
      <c r="E227" s="91">
        <f>(SUM(C225:C227)-SUM(C222:C224))/SUM(C222:C224)</f>
        <v>-4.8961780469492415E-3</v>
      </c>
      <c r="F227" s="91"/>
      <c r="G227" s="91"/>
      <c r="H227" s="139"/>
    </row>
    <row r="228" spans="1:27" x14ac:dyDescent="0.2">
      <c r="A228" s="70">
        <f t="shared" si="31"/>
        <v>2023</v>
      </c>
      <c r="B228" s="71" t="s">
        <v>16</v>
      </c>
      <c r="C228" s="76">
        <f>Indeks!H229</f>
        <v>136.52756409472568</v>
      </c>
      <c r="D228" s="151">
        <f>(C228-C227)/C227</f>
        <v>1.8741372280714545E-2</v>
      </c>
      <c r="E228" s="151"/>
      <c r="F228" s="151"/>
      <c r="G228" s="151"/>
      <c r="H228" s="76"/>
      <c r="W228" s="67"/>
      <c r="X228" s="67"/>
      <c r="Y228" s="67"/>
      <c r="Z228" s="67"/>
      <c r="AA228" s="67"/>
    </row>
    <row r="229" spans="1:27" x14ac:dyDescent="0.2">
      <c r="A229" s="223">
        <f t="shared" si="31"/>
        <v>2023</v>
      </c>
      <c r="B229" s="33" t="s">
        <v>17</v>
      </c>
      <c r="C229" s="78">
        <f>Indeks!H230</f>
        <v>137.5593426452115</v>
      </c>
      <c r="D229" s="148">
        <f>(C229-C228)/C228</f>
        <v>7.5572911399045799E-3</v>
      </c>
      <c r="E229" s="148"/>
      <c r="F229" s="148"/>
      <c r="G229" s="148"/>
      <c r="H229" s="78"/>
    </row>
    <row r="230" spans="1:27" ht="13.5" thickBot="1" x14ac:dyDescent="0.25">
      <c r="A230" s="232">
        <f t="shared" si="31"/>
        <v>2023</v>
      </c>
      <c r="B230" s="73" t="s">
        <v>18</v>
      </c>
      <c r="C230" s="135">
        <f>Indeks!H231</f>
        <v>137.3675718992248</v>
      </c>
      <c r="D230" s="138">
        <f t="shared" si="30"/>
        <v>-1.3940946670653296E-3</v>
      </c>
      <c r="E230" s="138">
        <f>(SUM(C228:C230)-SUM(C225:C227))/SUM(C225:C227)</f>
        <v>2.8474231459430101E-2</v>
      </c>
      <c r="F230" s="138">
        <f>(SUM(C225:C230)-SUM(C219:C224))/SUM(C219:C224)</f>
        <v>6.1645054931510485E-3</v>
      </c>
      <c r="G230" s="138">
        <f>(SUM(C219:C230)-SUM(C207:C218))/SUM(C207:C218)</f>
        <v>3.1094826768724253E-2</v>
      </c>
      <c r="H230" s="135">
        <f>(C219+C220+C221+C222+C223+C224+C225+C226+C227+C228+C229+C230)/12</f>
        <v>134.83858231670277</v>
      </c>
    </row>
    <row r="231" spans="1:27" x14ac:dyDescent="0.2">
      <c r="A231" s="74">
        <v>2024</v>
      </c>
      <c r="B231" s="33" t="s">
        <v>8</v>
      </c>
      <c r="C231" s="140">
        <f>Indeks!H232</f>
        <v>136.3811417137959</v>
      </c>
      <c r="D231" s="156">
        <f t="shared" ref="D231:D242" si="32">(C231-C230)/C230</f>
        <v>-7.1809537854579178E-3</v>
      </c>
      <c r="E231" s="156"/>
      <c r="F231" s="156"/>
      <c r="G231" s="156"/>
      <c r="H231" s="140"/>
    </row>
    <row r="232" spans="1:27" x14ac:dyDescent="0.2">
      <c r="A232" s="32">
        <f>A231</f>
        <v>2024</v>
      </c>
      <c r="B232" s="33" t="s">
        <v>9</v>
      </c>
      <c r="C232" s="78">
        <f>Indeks!H233</f>
        <v>135.05032645327108</v>
      </c>
      <c r="D232" s="148">
        <f t="shared" si="32"/>
        <v>-9.7580592433931367E-3</v>
      </c>
      <c r="E232" s="148"/>
      <c r="F232" s="148"/>
      <c r="G232" s="148"/>
      <c r="H232" s="78"/>
    </row>
    <row r="233" spans="1:27" x14ac:dyDescent="0.2">
      <c r="A233" s="63">
        <f t="shared" ref="A233:A242" si="33">A232</f>
        <v>2024</v>
      </c>
      <c r="B233" s="64" t="s">
        <v>10</v>
      </c>
      <c r="C233" s="139">
        <f>Indeks!H234</f>
        <v>136.21951192820978</v>
      </c>
      <c r="D233" s="91">
        <f t="shared" si="32"/>
        <v>8.6574057660145799E-3</v>
      </c>
      <c r="E233" s="91">
        <f>(SUM(C231:C233)-SUM(C228:C230))/SUM(C228:C230)</f>
        <v>-9.2440324296986284E-3</v>
      </c>
      <c r="F233" s="91"/>
      <c r="G233" s="91"/>
      <c r="H233" s="139"/>
    </row>
    <row r="234" spans="1:27" x14ac:dyDescent="0.2">
      <c r="A234" s="70">
        <f t="shared" si="33"/>
        <v>2024</v>
      </c>
      <c r="B234" s="71" t="s">
        <v>11</v>
      </c>
      <c r="C234" s="76">
        <f>Indeks!H235</f>
        <v>138.07598615499302</v>
      </c>
      <c r="D234" s="151">
        <f t="shared" si="32"/>
        <v>1.3628548513385005E-2</v>
      </c>
      <c r="E234" s="151"/>
      <c r="F234" s="151"/>
      <c r="G234" s="151"/>
      <c r="H234" s="76"/>
    </row>
    <row r="235" spans="1:27" x14ac:dyDescent="0.2">
      <c r="A235" s="32">
        <f t="shared" si="33"/>
        <v>2024</v>
      </c>
      <c r="B235" s="33" t="s">
        <v>12</v>
      </c>
      <c r="C235" s="78">
        <f>Indeks!H236</f>
        <v>137.0882619013332</v>
      </c>
      <c r="D235" s="148">
        <f t="shared" si="32"/>
        <v>-7.1534832461821445E-3</v>
      </c>
      <c r="E235" s="148"/>
      <c r="F235" s="148"/>
      <c r="G235" s="148"/>
      <c r="H235" s="78"/>
    </row>
    <row r="236" spans="1:27" ht="13.5" thickBot="1" x14ac:dyDescent="0.25">
      <c r="A236" s="72">
        <f t="shared" si="33"/>
        <v>2024</v>
      </c>
      <c r="B236" s="73" t="s">
        <v>13</v>
      </c>
      <c r="C236" s="135">
        <f>Indeks!H237</f>
        <v>137.43532986119024</v>
      </c>
      <c r="D236" s="138">
        <f t="shared" si="32"/>
        <v>2.5317117238442973E-3</v>
      </c>
      <c r="E236" s="138">
        <f>(SUM(C234:C236)-SUM(C231:C233))/SUM(C231:C233)</f>
        <v>1.2139300685804832E-2</v>
      </c>
      <c r="F236" s="138">
        <f>(SUM(C231:C236)-SUM(C225:C230))/SUM(C225:C230)</f>
        <v>1.0761428176221265E-2</v>
      </c>
      <c r="G236" s="138"/>
      <c r="H236" s="135"/>
    </row>
    <row r="237" spans="1:27" x14ac:dyDescent="0.2">
      <c r="A237" s="223">
        <f t="shared" si="33"/>
        <v>2024</v>
      </c>
      <c r="B237" s="214" t="s">
        <v>31</v>
      </c>
      <c r="C237" s="76">
        <f>Indeks!H238</f>
        <v>137.80191181269993</v>
      </c>
      <c r="D237" s="151">
        <f t="shared" si="32"/>
        <v>2.6673050654437624E-3</v>
      </c>
      <c r="E237" s="151"/>
      <c r="F237" s="151"/>
      <c r="G237" s="151"/>
      <c r="H237" s="76"/>
    </row>
    <row r="238" spans="1:27" x14ac:dyDescent="0.2">
      <c r="A238" s="32">
        <f t="shared" si="33"/>
        <v>2024</v>
      </c>
      <c r="B238" s="33" t="s">
        <v>14</v>
      </c>
      <c r="C238" s="78">
        <f>Indeks!H239</f>
        <v>137.7058956382032</v>
      </c>
      <c r="D238" s="148">
        <f t="shared" si="32"/>
        <v>-6.9676953848964119E-4</v>
      </c>
      <c r="E238" s="148"/>
      <c r="F238" s="148"/>
      <c r="G238" s="148"/>
      <c r="H238" s="78"/>
    </row>
    <row r="239" spans="1:27" x14ac:dyDescent="0.2">
      <c r="A239" s="63">
        <f t="shared" si="33"/>
        <v>2024</v>
      </c>
      <c r="B239" s="64" t="s">
        <v>15</v>
      </c>
      <c r="C239" s="139">
        <f>Indeks!H240</f>
        <v>138.10956989288141</v>
      </c>
      <c r="D239" s="91">
        <f t="shared" si="32"/>
        <v>2.9314231813196106E-3</v>
      </c>
      <c r="E239" s="91">
        <f>(SUM(C237:C239)-SUM(C234:C236))/SUM(C234:C236)</f>
        <v>2.4667970612213142E-3</v>
      </c>
      <c r="F239" s="91"/>
      <c r="G239" s="91"/>
      <c r="H239" s="139"/>
    </row>
    <row r="240" spans="1:27" x14ac:dyDescent="0.2">
      <c r="A240" s="70">
        <f t="shared" si="33"/>
        <v>2024</v>
      </c>
      <c r="B240" s="71" t="s">
        <v>16</v>
      </c>
      <c r="C240" s="76">
        <f>Indeks!H241</f>
        <v>138.40561736170238</v>
      </c>
      <c r="D240" s="151">
        <f t="shared" si="32"/>
        <v>2.1435695517015153E-3</v>
      </c>
      <c r="E240" s="151"/>
      <c r="F240" s="151"/>
      <c r="G240" s="151"/>
      <c r="H240" s="76"/>
    </row>
    <row r="241" spans="1:8" x14ac:dyDescent="0.2">
      <c r="A241" s="32">
        <f t="shared" si="33"/>
        <v>2024</v>
      </c>
      <c r="B241" s="33" t="s">
        <v>17</v>
      </c>
      <c r="C241" s="78">
        <f>Indeks!H242</f>
        <v>137.02187184595564</v>
      </c>
      <c r="D241" s="148">
        <f t="shared" si="32"/>
        <v>-9.9977554533103013E-3</v>
      </c>
      <c r="E241" s="148"/>
      <c r="F241" s="148"/>
      <c r="G241" s="148"/>
      <c r="H241" s="78"/>
    </row>
    <row r="242" spans="1:8" ht="13.5" thickBot="1" x14ac:dyDescent="0.25">
      <c r="A242" s="72">
        <f t="shared" si="33"/>
        <v>2024</v>
      </c>
      <c r="B242" s="73" t="s">
        <v>18</v>
      </c>
      <c r="C242" s="135">
        <f>Indeks!H243</f>
        <v>137.71427088356901</v>
      </c>
      <c r="D242" s="138">
        <f t="shared" si="32"/>
        <v>5.0532008378325706E-3</v>
      </c>
      <c r="E242" s="138">
        <f>(SUM(C240:C242)-SUM(C237:C239))/SUM(C237:C239)</f>
        <v>-1.1498966886057504E-3</v>
      </c>
      <c r="F242" s="138">
        <f>(SUM(C237:C242)-SUM(C231:C236))/SUM(C231:C236)</f>
        <v>7.9348674117168862E-3</v>
      </c>
      <c r="G242" s="138">
        <f>(SUM(C231:C242)-SUM(C219:C230))/SUM(C219:C230)</f>
        <v>1.78897285616311E-2</v>
      </c>
      <c r="H242" s="135">
        <f>(C231+C232+C233+C234+C235+C236+C237+C238+C239+C240+C241+C242)/12</f>
        <v>137.25080795398375</v>
      </c>
    </row>
    <row r="243" spans="1:8" x14ac:dyDescent="0.2">
      <c r="A243" s="74">
        <v>2025</v>
      </c>
      <c r="B243" s="33" t="s">
        <v>8</v>
      </c>
      <c r="C243" s="140">
        <f>Indeks!H244</f>
        <v>138.00949547030183</v>
      </c>
      <c r="D243" s="156">
        <f t="shared" ref="D243:D254" si="34">(C243-C242)/C242</f>
        <v>2.1437472299614692E-3</v>
      </c>
      <c r="E243" s="156"/>
      <c r="F243" s="156"/>
      <c r="G243" s="156"/>
      <c r="H243" s="140"/>
    </row>
    <row r="244" spans="1:8" x14ac:dyDescent="0.2">
      <c r="A244" s="32">
        <f>A243</f>
        <v>2025</v>
      </c>
      <c r="B244" s="33" t="s">
        <v>9</v>
      </c>
      <c r="C244" s="78">
        <f>Indeks!H245</f>
        <v>138.4569594760396</v>
      </c>
      <c r="D244" s="148">
        <f t="shared" si="34"/>
        <v>3.2422697018993211E-3</v>
      </c>
      <c r="E244" s="148"/>
      <c r="F244" s="148"/>
      <c r="G244" s="148"/>
      <c r="H244" s="78"/>
    </row>
    <row r="245" spans="1:8" x14ac:dyDescent="0.2">
      <c r="A245" s="63">
        <f t="shared" ref="A245:A254" si="35">A244</f>
        <v>2025</v>
      </c>
      <c r="B245" s="64" t="s">
        <v>10</v>
      </c>
      <c r="C245" s="139">
        <f>Indeks!H246</f>
        <v>140.8803354969854</v>
      </c>
      <c r="D245" s="91">
        <f t="shared" si="34"/>
        <v>1.7502738974743758E-2</v>
      </c>
      <c r="E245" s="91">
        <f>(SUM(C243:C245)-SUM(C240:C242))/SUM(C240:C242)</f>
        <v>1.0178177948341926E-2</v>
      </c>
      <c r="F245" s="91"/>
      <c r="G245" s="91"/>
      <c r="H245" s="139"/>
    </row>
    <row r="246" spans="1:8" x14ac:dyDescent="0.2">
      <c r="A246" s="70">
        <f t="shared" si="35"/>
        <v>2025</v>
      </c>
      <c r="B246" s="71" t="s">
        <v>11</v>
      </c>
      <c r="C246" s="76">
        <f>Indeks!H247</f>
        <v>141.46323457318837</v>
      </c>
      <c r="D246" s="151">
        <f t="shared" si="34"/>
        <v>4.1375474735113093E-3</v>
      </c>
      <c r="E246" s="151"/>
      <c r="F246" s="151"/>
      <c r="G246" s="151"/>
      <c r="H246" s="76"/>
    </row>
    <row r="247" spans="1:8" x14ac:dyDescent="0.2">
      <c r="A247" s="32">
        <f t="shared" si="35"/>
        <v>2025</v>
      </c>
      <c r="B247" s="33" t="s">
        <v>12</v>
      </c>
      <c r="C247" s="78">
        <f>Indeks!H248</f>
        <v>140.75192052728585</v>
      </c>
      <c r="D247" s="148">
        <f t="shared" si="34"/>
        <v>-5.0282608626096119E-3</v>
      </c>
      <c r="E247" s="148"/>
      <c r="F247" s="148"/>
      <c r="G247" s="148"/>
      <c r="H247" s="78"/>
    </row>
    <row r="248" spans="1:8" ht="13.5" thickBot="1" x14ac:dyDescent="0.25">
      <c r="A248" s="63">
        <f t="shared" si="35"/>
        <v>2025</v>
      </c>
      <c r="B248" s="64" t="s">
        <v>13</v>
      </c>
      <c r="C248" s="135">
        <f>Indeks!H249</f>
        <v>139.90889681704704</v>
      </c>
      <c r="D248" s="138">
        <f t="shared" si="34"/>
        <v>-5.9894295373069803E-3</v>
      </c>
      <c r="E248" s="138">
        <f>(SUM(C246:C248)-SUM(C243:C245))/SUM(C243:C245)</f>
        <v>1.1446743052989266E-2</v>
      </c>
      <c r="F248" s="138">
        <f>(SUM(C243:C248)-SUM(C237:C242))/SUM(C237:C242)</f>
        <v>1.5375342527539681E-2</v>
      </c>
      <c r="G248" s="138"/>
      <c r="H248" s="135"/>
    </row>
    <row r="249" spans="1:8" x14ac:dyDescent="0.2">
      <c r="A249" s="70">
        <f t="shared" si="35"/>
        <v>2025</v>
      </c>
      <c r="B249" s="75" t="s">
        <v>31</v>
      </c>
      <c r="C249" s="76">
        <f>Indeks!H250</f>
        <v>139.98555388147818</v>
      </c>
      <c r="D249" s="151">
        <f t="shared" si="34"/>
        <v>5.4790700359382384E-4</v>
      </c>
      <c r="E249" s="151"/>
      <c r="F249" s="151"/>
      <c r="G249" s="151"/>
      <c r="H249" s="76"/>
    </row>
    <row r="250" spans="1:8" x14ac:dyDescent="0.2">
      <c r="A250" s="32">
        <f t="shared" si="35"/>
        <v>2025</v>
      </c>
      <c r="B250" s="33" t="s">
        <v>14</v>
      </c>
      <c r="C250" s="226">
        <f>Indeks!H251</f>
        <v>139.99692585894888</v>
      </c>
      <c r="D250" s="176">
        <f t="shared" si="34"/>
        <v>8.1236793050306529E-5</v>
      </c>
      <c r="E250" s="176"/>
      <c r="F250" s="176"/>
      <c r="G250" s="176"/>
      <c r="H250" s="231"/>
    </row>
    <row r="251" spans="1:8" x14ac:dyDescent="0.2">
      <c r="A251" s="63">
        <f t="shared" si="35"/>
        <v>2025</v>
      </c>
      <c r="B251" s="64" t="s">
        <v>15</v>
      </c>
      <c r="C251" s="227">
        <f>Indeks!H252</f>
        <v>140.00830860005786</v>
      </c>
      <c r="D251" s="229">
        <f t="shared" si="34"/>
        <v>8.1307078988597712E-5</v>
      </c>
      <c r="E251" s="229">
        <f>(SUM(C249:C251)-SUM(C246:C248))/SUM(C246:C248)</f>
        <v>-5.0536413818306524E-3</v>
      </c>
      <c r="F251" s="229"/>
      <c r="G251" s="229"/>
      <c r="H251" s="229"/>
    </row>
    <row r="252" spans="1:8" x14ac:dyDescent="0.2">
      <c r="A252" s="70">
        <f t="shared" si="35"/>
        <v>2025</v>
      </c>
      <c r="B252" s="71" t="s">
        <v>16</v>
      </c>
      <c r="C252" s="228">
        <f>Indeks!H253</f>
        <v>140.89494393439236</v>
      </c>
      <c r="D252" s="176">
        <f t="shared" si="34"/>
        <v>6.3327337013064471E-3</v>
      </c>
      <c r="E252" s="230"/>
      <c r="F252" s="230"/>
      <c r="G252" s="230"/>
      <c r="H252" s="231"/>
    </row>
    <row r="253" spans="1:8" x14ac:dyDescent="0.2">
      <c r="A253" s="32">
        <f t="shared" si="35"/>
        <v>2025</v>
      </c>
      <c r="B253" s="33" t="s">
        <v>17</v>
      </c>
      <c r="C253" s="226">
        <f>Indeks!H254</f>
        <v>140.90634823470509</v>
      </c>
      <c r="D253" s="176">
        <f t="shared" si="34"/>
        <v>8.0941870547490658E-5</v>
      </c>
      <c r="E253" s="176"/>
      <c r="F253" s="176"/>
      <c r="G253" s="176"/>
      <c r="H253" s="231"/>
    </row>
    <row r="254" spans="1:8" ht="13.5" thickBot="1" x14ac:dyDescent="0.25">
      <c r="A254" s="72">
        <f t="shared" si="35"/>
        <v>2025</v>
      </c>
      <c r="B254" s="73" t="s">
        <v>18</v>
      </c>
      <c r="C254" s="257">
        <f>Indeks!H255</f>
        <v>140.9177633306044</v>
      </c>
      <c r="D254" s="258">
        <f t="shared" si="34"/>
        <v>8.1011934822804589E-5</v>
      </c>
      <c r="E254" s="258">
        <f>(SUM(C252:C254)-SUM(C249:C251))/SUM(C249:C251)</f>
        <v>6.4960166626445541E-3</v>
      </c>
      <c r="F254" s="258">
        <f>(SUM(C249:C254)-SUM(C243:C248))/SUM(C243:C248)</f>
        <v>3.8583847298729037E-3</v>
      </c>
      <c r="G254" s="258">
        <f>(SUM(C243:C254)-SUM(C231:C242))/SUM(C231:C242)</f>
        <v>2.1354452770035177E-2</v>
      </c>
      <c r="H254" s="233">
        <f>(C243+C244+C245+C246+C247+C248+C249+C250+C251+C252+C253+C254)/12</f>
        <v>140.18172385008626</v>
      </c>
    </row>
    <row r="255" spans="1:8" x14ac:dyDescent="0.2">
      <c r="A255" s="74">
        <v>2026</v>
      </c>
      <c r="B255" s="33" t="s">
        <v>8</v>
      </c>
      <c r="C255" s="226">
        <f>Indeks!H256</f>
        <v>141.73341015646321</v>
      </c>
      <c r="D255" s="176">
        <f t="shared" ref="D255:D266" si="36">(C255-C254)/C254</f>
        <v>5.7881051088302703E-3</v>
      </c>
      <c r="E255" s="176"/>
      <c r="F255" s="176"/>
      <c r="G255" s="176"/>
      <c r="H255" s="176"/>
    </row>
    <row r="256" spans="1:8" x14ac:dyDescent="0.2">
      <c r="A256" s="247">
        <f>A255</f>
        <v>2026</v>
      </c>
      <c r="B256" s="33" t="s">
        <v>9</v>
      </c>
      <c r="C256" s="250">
        <f>Indeks!H257</f>
        <v>141.75429728880738</v>
      </c>
      <c r="D256" s="253">
        <f t="shared" si="36"/>
        <v>1.4736915114871947E-4</v>
      </c>
      <c r="E256" s="253"/>
      <c r="F256" s="253"/>
      <c r="G256" s="253"/>
      <c r="H256" s="256"/>
    </row>
    <row r="257" spans="1:8" x14ac:dyDescent="0.2">
      <c r="A257" s="248">
        <f t="shared" ref="A257:A266" si="37">A256</f>
        <v>2026</v>
      </c>
      <c r="B257" s="64" t="s">
        <v>10</v>
      </c>
      <c r="C257" s="251">
        <f>Indeks!H258</f>
        <v>141.77520609277141</v>
      </c>
      <c r="D257" s="254">
        <f t="shared" si="36"/>
        <v>1.4750031825443933E-4</v>
      </c>
      <c r="E257" s="254">
        <f>(SUM(C255:C257)-SUM(C252:C254))/SUM(C252:C254)</f>
        <v>6.0178456713595781E-3</v>
      </c>
      <c r="F257" s="254"/>
      <c r="G257" s="254"/>
      <c r="H257" s="254"/>
    </row>
    <row r="258" spans="1:8" x14ac:dyDescent="0.2">
      <c r="A258" s="249">
        <f t="shared" si="37"/>
        <v>2026</v>
      </c>
      <c r="B258" s="71" t="s">
        <v>11</v>
      </c>
      <c r="C258" s="252">
        <f>Indeks!H259</f>
        <v>142.59785723895661</v>
      </c>
      <c r="D258" s="255">
        <f t="shared" si="36"/>
        <v>5.8025036172184279E-3</v>
      </c>
      <c r="E258" s="255"/>
      <c r="F258" s="255"/>
      <c r="G258" s="255"/>
      <c r="H258" s="256"/>
    </row>
    <row r="259" spans="1:8" x14ac:dyDescent="0.2">
      <c r="A259" s="247">
        <f t="shared" si="37"/>
        <v>2026</v>
      </c>
      <c r="B259" s="33" t="s">
        <v>12</v>
      </c>
      <c r="C259" s="250">
        <f>Indeks!H260</f>
        <v>142.618809459766</v>
      </c>
      <c r="D259" s="253">
        <f t="shared" si="36"/>
        <v>1.4693222755992114E-4</v>
      </c>
      <c r="E259" s="253"/>
      <c r="F259" s="253"/>
      <c r="G259" s="253"/>
      <c r="H259" s="256"/>
    </row>
    <row r="260" spans="1:8" x14ac:dyDescent="0.2">
      <c r="A260" s="248">
        <f t="shared" si="37"/>
        <v>2026</v>
      </c>
      <c r="B260" s="64" t="s">
        <v>13</v>
      </c>
      <c r="C260" s="251">
        <f>Indeks!H261</f>
        <v>142.63978342585946</v>
      </c>
      <c r="D260" s="254">
        <f t="shared" si="36"/>
        <v>1.4706311301372494E-4</v>
      </c>
      <c r="E260" s="254">
        <f>(SUM(C258:C260)-SUM(C255:C257))/SUM(C255:C257)</f>
        <v>6.0986662696796588E-3</v>
      </c>
      <c r="F260" s="254">
        <f>(SUM(C255:C260)-SUM(C249:C254))/SUM(C249:C254)</f>
        <v>1.2352436486325689E-2</v>
      </c>
      <c r="G260" s="254"/>
      <c r="H260" s="254"/>
    </row>
    <row r="261" spans="1:8" x14ac:dyDescent="0.2">
      <c r="A261" s="249">
        <f t="shared" si="37"/>
        <v>2026</v>
      </c>
      <c r="B261" s="75" t="s">
        <v>31</v>
      </c>
      <c r="C261" s="252">
        <f>Indeks!H262</f>
        <v>143.46949970104674</v>
      </c>
      <c r="D261" s="255">
        <f t="shared" si="36"/>
        <v>5.8168643786433247E-3</v>
      </c>
      <c r="E261" s="255"/>
      <c r="F261" s="255"/>
      <c r="G261" s="255"/>
      <c r="H261" s="256"/>
    </row>
    <row r="262" spans="1:8" x14ac:dyDescent="0.2">
      <c r="A262" s="247">
        <f t="shared" si="37"/>
        <v>2026</v>
      </c>
      <c r="B262" s="33" t="s">
        <v>14</v>
      </c>
      <c r="C262" s="250">
        <f>Indeks!H263</f>
        <v>143.49051723157743</v>
      </c>
      <c r="D262" s="253">
        <f t="shared" si="36"/>
        <v>1.464947642145534E-4</v>
      </c>
      <c r="E262" s="253"/>
      <c r="F262" s="253"/>
      <c r="G262" s="253"/>
      <c r="H262" s="256"/>
    </row>
    <row r="263" spans="1:8" x14ac:dyDescent="0.2">
      <c r="A263" s="248">
        <f t="shared" si="37"/>
        <v>2026</v>
      </c>
      <c r="B263" s="64" t="s">
        <v>15</v>
      </c>
      <c r="C263" s="251">
        <f>Indeks!H264</f>
        <v>143.51155658132006</v>
      </c>
      <c r="D263" s="254">
        <f t="shared" si="36"/>
        <v>1.4662536694798816E-4</v>
      </c>
      <c r="E263" s="254">
        <f>(SUM(C261:C263)-SUM(C258:C260))/SUM(C258:C260)</f>
        <v>6.1121513736690104E-3</v>
      </c>
      <c r="F263" s="254"/>
      <c r="G263" s="254"/>
      <c r="H263" s="254"/>
    </row>
    <row r="264" spans="1:8" x14ac:dyDescent="0.2">
      <c r="A264" s="249">
        <f t="shared" si="37"/>
        <v>2026</v>
      </c>
      <c r="B264" s="71" t="s">
        <v>16</v>
      </c>
      <c r="C264" s="252">
        <f>Indeks!H265</f>
        <v>144.34839932397264</v>
      </c>
      <c r="D264" s="253">
        <f t="shared" si="36"/>
        <v>5.8311871363362008E-3</v>
      </c>
      <c r="E264" s="255"/>
      <c r="F264" s="255"/>
      <c r="G264" s="255"/>
      <c r="H264" s="256"/>
    </row>
    <row r="265" spans="1:8" x14ac:dyDescent="0.2">
      <c r="A265" s="247">
        <f t="shared" si="37"/>
        <v>2026</v>
      </c>
      <c r="B265" s="33" t="s">
        <v>17</v>
      </c>
      <c r="C265" s="250">
        <f>Indeks!H266</f>
        <v>144.36948238627292</v>
      </c>
      <c r="D265" s="253">
        <f t="shared" si="36"/>
        <v>1.4605677928550761E-4</v>
      </c>
      <c r="E265" s="253"/>
      <c r="F265" s="253"/>
      <c r="G265" s="253"/>
      <c r="H265" s="256"/>
    </row>
    <row r="266" spans="1:8" ht="13.5" thickBot="1" x14ac:dyDescent="0.25">
      <c r="A266" s="247">
        <f t="shared" si="37"/>
        <v>2026</v>
      </c>
      <c r="B266" s="33" t="s">
        <v>18</v>
      </c>
      <c r="C266" s="250">
        <f>Indeks!H267</f>
        <v>144.39058734197775</v>
      </c>
      <c r="D266" s="253">
        <f t="shared" si="36"/>
        <v>1.4618709824255159E-4</v>
      </c>
      <c r="E266" s="253">
        <f>(SUM(C264:C266)-SUM(C261:C263))/SUM(C261:C263)</f>
        <v>6.1255973693084302E-3</v>
      </c>
      <c r="F266" s="253">
        <f>(SUM(C261:C266)-SUM(C255:C260))/SUM(C255:C260)</f>
        <v>1.2261682654386742E-2</v>
      </c>
      <c r="G266" s="253">
        <f>(SUM(C255:C266)-SUM(C243:C254))/SUM(C243:C254)</f>
        <v>2.0520221347750861E-2</v>
      </c>
      <c r="H266" s="233">
        <f>(C255+C256+C257+C258+C259+C260+C261+C262+C263+C264+C265+C266)/12</f>
        <v>143.05828385239931</v>
      </c>
    </row>
  </sheetData>
  <pageMargins left="0.74803149606299213" right="0.74803149606299213" top="0.78740157480314965" bottom="0.39370078740157483" header="0" footer="0"/>
  <pageSetup paperSize="9" fitToHeight="0" orientation="portrait" r:id="rId1"/>
  <headerFooter alignWithMargins="0">
    <oddHeader>&amp;L&amp;G&amp;R&amp;14
&amp;"Arial,Fed"Omkostningsindeks</oddHeader>
    <oddFooter>&amp;L&amp;D&amp;RKontaktinformation: FynBus (HNB/JNB)</oddFooter>
  </headerFooter>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593F4-E5D9-4BEE-A0C9-75D98D328165}">
  <sheetPr codeName="Ark3">
    <pageSetUpPr fitToPage="1"/>
  </sheetPr>
  <dimension ref="A1:AA218"/>
  <sheetViews>
    <sheetView view="pageBreakPreview" zoomScale="80" zoomScaleNormal="100" zoomScaleSheetLayoutView="80" workbookViewId="0">
      <selection activeCell="J7" sqref="J7"/>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5" ht="15.75" x14ac:dyDescent="0.25">
      <c r="A1" s="82" t="s">
        <v>33</v>
      </c>
    </row>
    <row r="2" spans="1:5" x14ac:dyDescent="0.2">
      <c r="A2" s="6" t="s">
        <v>29</v>
      </c>
      <c r="B2" s="6" t="s">
        <v>30</v>
      </c>
    </row>
    <row r="3" spans="1:5" x14ac:dyDescent="0.2">
      <c r="A3" s="6"/>
      <c r="B3" s="6"/>
    </row>
    <row r="4" spans="1:5" x14ac:dyDescent="0.2">
      <c r="A4" s="2" t="s">
        <v>23</v>
      </c>
      <c r="B4" s="2" t="s">
        <v>24</v>
      </c>
      <c r="C4" s="2" t="s">
        <v>25</v>
      </c>
      <c r="D4" s="2" t="s">
        <v>38</v>
      </c>
      <c r="E4" s="2" t="s">
        <v>28</v>
      </c>
    </row>
    <row r="5" spans="1:5" ht="101.25" x14ac:dyDescent="0.2">
      <c r="A5" s="152" t="s">
        <v>3</v>
      </c>
      <c r="B5" s="186" t="s">
        <v>89</v>
      </c>
      <c r="C5" t="s">
        <v>26</v>
      </c>
      <c r="D5" s="7" t="s">
        <v>39</v>
      </c>
      <c r="E5" s="5">
        <f>Indeks!C2</f>
        <v>0.6</v>
      </c>
    </row>
    <row r="6" spans="1:5" ht="25.5" x14ac:dyDescent="0.2">
      <c r="A6" s="212" t="s">
        <v>4</v>
      </c>
      <c r="B6" s="213" t="s">
        <v>71</v>
      </c>
      <c r="C6" s="33" t="s">
        <v>27</v>
      </c>
      <c r="D6" s="214" t="s">
        <v>40</v>
      </c>
      <c r="E6" s="215">
        <f>Indeks!D2</f>
        <v>0.17</v>
      </c>
    </row>
    <row r="7" spans="1:5" x14ac:dyDescent="0.2">
      <c r="A7" s="152"/>
      <c r="B7" s="216" t="s">
        <v>73</v>
      </c>
      <c r="C7" s="67"/>
      <c r="D7" s="153"/>
      <c r="E7" s="154"/>
    </row>
    <row r="8" spans="1:5" ht="25.5" x14ac:dyDescent="0.2">
      <c r="A8" s="152" t="s">
        <v>5</v>
      </c>
      <c r="B8" s="205" t="s">
        <v>72</v>
      </c>
      <c r="C8" s="67" t="s">
        <v>27</v>
      </c>
      <c r="D8" s="153" t="s">
        <v>40</v>
      </c>
      <c r="E8" s="154">
        <f>Indeks!E2</f>
        <v>0.08</v>
      </c>
    </row>
    <row r="9" spans="1:5" x14ac:dyDescent="0.2">
      <c r="A9" s="152"/>
      <c r="B9" s="216" t="s">
        <v>73</v>
      </c>
      <c r="C9" s="67"/>
      <c r="D9" s="153"/>
      <c r="E9" s="154"/>
    </row>
    <row r="10" spans="1:5" ht="89.25" x14ac:dyDescent="0.2">
      <c r="A10" s="152" t="s">
        <v>6</v>
      </c>
      <c r="B10" s="186" t="s">
        <v>78</v>
      </c>
      <c r="C10" t="s">
        <v>27</v>
      </c>
      <c r="D10" s="7" t="s">
        <v>40</v>
      </c>
      <c r="E10" s="5">
        <f>Indeks!F2</f>
        <v>0.09</v>
      </c>
    </row>
    <row r="11" spans="1:5" ht="63.75" x14ac:dyDescent="0.2">
      <c r="A11" s="152" t="s">
        <v>7</v>
      </c>
      <c r="B11" s="186" t="s">
        <v>80</v>
      </c>
      <c r="C11" t="s">
        <v>27</v>
      </c>
      <c r="D11" s="7" t="s">
        <v>40</v>
      </c>
      <c r="E11" s="5">
        <f>Indeks!G2</f>
        <v>0.06</v>
      </c>
    </row>
    <row r="126" spans="6:6" x14ac:dyDescent="0.2">
      <c r="F126" s="201"/>
    </row>
    <row r="208" spans="23:27" x14ac:dyDescent="0.2">
      <c r="W208" s="67"/>
      <c r="X208" s="67"/>
      <c r="Y208" s="67"/>
      <c r="Z208" s="67"/>
      <c r="AA208" s="67"/>
    </row>
    <row r="209" spans="23:27" x14ac:dyDescent="0.2">
      <c r="W209" s="67"/>
      <c r="X209" s="67"/>
      <c r="Y209" s="67"/>
      <c r="Z209" s="67"/>
      <c r="AA209" s="67"/>
    </row>
    <row r="210" spans="23:27" x14ac:dyDescent="0.2">
      <c r="W210" s="67"/>
      <c r="X210" s="67"/>
      <c r="Y210" s="67"/>
      <c r="Z210" s="67"/>
      <c r="AA210" s="67"/>
    </row>
    <row r="211" spans="23:27" x14ac:dyDescent="0.2">
      <c r="W211" s="67"/>
      <c r="X211" s="67"/>
      <c r="Y211" s="67"/>
      <c r="Z211" s="67"/>
      <c r="AA211" s="67"/>
    </row>
    <row r="212" spans="23:27" x14ac:dyDescent="0.2">
      <c r="W212" s="67"/>
      <c r="X212" s="67"/>
      <c r="Y212" s="67"/>
      <c r="Z212" s="67"/>
      <c r="AA212" s="67"/>
    </row>
    <row r="213" spans="23:27" x14ac:dyDescent="0.2">
      <c r="W213" s="67"/>
      <c r="X213" s="67"/>
      <c r="Y213" s="67"/>
      <c r="Z213" s="67"/>
      <c r="AA213" s="67"/>
    </row>
    <row r="214" spans="23:27" x14ac:dyDescent="0.2">
      <c r="W214" s="67"/>
      <c r="X214" s="67"/>
      <c r="Y214" s="67"/>
      <c r="Z214" s="67"/>
      <c r="AA214" s="67"/>
    </row>
    <row r="215" spans="23:27" x14ac:dyDescent="0.2">
      <c r="W215" s="67"/>
      <c r="X215" s="67"/>
      <c r="Y215" s="67"/>
      <c r="Z215" s="67"/>
      <c r="AA215" s="67"/>
    </row>
    <row r="216" spans="23:27" x14ac:dyDescent="0.2">
      <c r="W216" s="67"/>
      <c r="X216" s="67"/>
      <c r="Y216" s="67"/>
      <c r="Z216" s="67"/>
      <c r="AA216" s="67"/>
    </row>
    <row r="217" spans="23:27" x14ac:dyDescent="0.2">
      <c r="W217" s="67"/>
      <c r="X217" s="67"/>
      <c r="Y217" s="67"/>
      <c r="Z217" s="67"/>
      <c r="AA217" s="67"/>
    </row>
    <row r="218" spans="23:27" x14ac:dyDescent="0.2">
      <c r="W218" s="67"/>
      <c r="X218" s="67"/>
      <c r="Y218" s="67"/>
      <c r="Z218" s="67"/>
      <c r="AA218" s="67"/>
    </row>
  </sheetData>
  <phoneticPr fontId="4" type="noConversion"/>
  <pageMargins left="0.74803149606299213" right="0.74803149606299213" top="0.78740157480314965" bottom="0.39370078740157483" header="0" footer="0"/>
  <pageSetup paperSize="9" scale="82" fitToHeight="0" orientation="portrait" r:id="rId1"/>
  <headerFooter alignWithMargins="0">
    <oddHeader>&amp;L&amp;G&amp;R&amp;14
&amp;"Arial,Fed"Omkostningsindeks</oddHeader>
    <oddFooter>&amp;L&amp;D&amp;RKontaktinformation: FynBus (HNB/JNB)</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63D56-DB41-416D-8586-033F0A238B4D}">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58</v>
      </c>
    </row>
    <row r="3" spans="1:11" x14ac:dyDescent="0.2">
      <c r="A3" s="188"/>
      <c r="B3" s="188" t="s">
        <v>2</v>
      </c>
      <c r="C3" s="188" t="s">
        <v>49</v>
      </c>
      <c r="D3" s="188" t="s">
        <v>50</v>
      </c>
      <c r="E3" s="188" t="s">
        <v>51</v>
      </c>
      <c r="F3" s="188" t="s">
        <v>53</v>
      </c>
      <c r="G3" s="188" t="s">
        <v>54</v>
      </c>
      <c r="H3" s="188" t="s">
        <v>60</v>
      </c>
      <c r="I3" s="195" t="s">
        <v>63</v>
      </c>
      <c r="J3" s="195" t="s">
        <v>62</v>
      </c>
      <c r="K3" s="195" t="s">
        <v>64</v>
      </c>
    </row>
    <row r="4" spans="1:11" x14ac:dyDescent="0.2">
      <c r="A4" s="188"/>
      <c r="B4" s="188" t="s">
        <v>52</v>
      </c>
      <c r="C4" s="188" t="s">
        <v>51</v>
      </c>
      <c r="D4" s="188" t="s">
        <v>53</v>
      </c>
      <c r="E4" s="188" t="s">
        <v>54</v>
      </c>
      <c r="F4" s="188" t="s">
        <v>60</v>
      </c>
      <c r="G4" s="188" t="s">
        <v>61</v>
      </c>
      <c r="H4" s="188" t="s">
        <v>62</v>
      </c>
      <c r="I4" s="195" t="s">
        <v>64</v>
      </c>
      <c r="J4" s="195" t="s">
        <v>65</v>
      </c>
      <c r="K4" s="196" t="s">
        <v>66</v>
      </c>
    </row>
    <row r="5" spans="1:11" x14ac:dyDescent="0.2">
      <c r="A5" s="188" t="s">
        <v>57</v>
      </c>
      <c r="B5" s="188" t="s">
        <v>55</v>
      </c>
      <c r="C5" s="189">
        <v>99.1</v>
      </c>
      <c r="D5" s="190"/>
      <c r="E5" s="190"/>
      <c r="F5" s="190"/>
      <c r="G5" s="190"/>
      <c r="H5" s="190"/>
      <c r="I5" s="190"/>
      <c r="J5" s="190"/>
      <c r="K5" s="190"/>
    </row>
    <row r="6" spans="1:11" x14ac:dyDescent="0.2">
      <c r="A6" s="193" t="s">
        <v>58</v>
      </c>
      <c r="B6" s="188" t="s">
        <v>56</v>
      </c>
      <c r="C6" s="191">
        <v>100.2</v>
      </c>
      <c r="D6" s="191">
        <v>100</v>
      </c>
      <c r="E6" s="191">
        <v>100.2</v>
      </c>
      <c r="F6" s="191">
        <v>99.9</v>
      </c>
      <c r="G6" s="191">
        <v>99.8</v>
      </c>
      <c r="H6" s="191">
        <v>100</v>
      </c>
      <c r="I6" s="191">
        <v>100.1</v>
      </c>
      <c r="J6" s="191">
        <v>100</v>
      </c>
      <c r="K6" s="191">
        <v>100</v>
      </c>
    </row>
    <row r="7" spans="1:11" x14ac:dyDescent="0.2">
      <c r="A7" s="188" t="s">
        <v>59</v>
      </c>
      <c r="B7" s="188" t="s">
        <v>55</v>
      </c>
      <c r="C7" s="190">
        <f>+C5/C6</f>
        <v>0.98902195608782428</v>
      </c>
      <c r="D7" s="192">
        <f t="shared" ref="D7:J7" si="0">+$C7*D6</f>
        <v>98.902195608782435</v>
      </c>
      <c r="E7" s="192">
        <f t="shared" si="0"/>
        <v>99.1</v>
      </c>
      <c r="F7" s="192">
        <f t="shared" si="0"/>
        <v>98.803293413173648</v>
      </c>
      <c r="G7" s="192">
        <f t="shared" si="0"/>
        <v>98.704391217564861</v>
      </c>
      <c r="H7" s="192">
        <f t="shared" si="0"/>
        <v>98.902195608782435</v>
      </c>
      <c r="I7" s="192">
        <f t="shared" si="0"/>
        <v>99.001097804391208</v>
      </c>
      <c r="J7" s="192">
        <f t="shared" si="0"/>
        <v>98.902195608782435</v>
      </c>
      <c r="K7" s="192">
        <f>+$C7*K6</f>
        <v>98.902195608782435</v>
      </c>
    </row>
  </sheetData>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12</vt:i4>
      </vt:variant>
    </vt:vector>
  </HeadingPairs>
  <TitlesOfParts>
    <vt:vector size="17" baseType="lpstr">
      <vt:lpstr>Indeks</vt:lpstr>
      <vt:lpstr>Reelle vægte</vt:lpstr>
      <vt:lpstr>Udvikling i indeks</vt:lpstr>
      <vt:lpstr>Kilder og dokumentation</vt:lpstr>
      <vt:lpstr>Note pris 10</vt:lpstr>
      <vt:lpstr>LønStigning2009</vt:lpstr>
      <vt:lpstr>LønStigning2010</vt:lpstr>
      <vt:lpstr>LønStigning2011</vt:lpstr>
      <vt:lpstr>PrisStigning2009</vt:lpstr>
      <vt:lpstr>Prisstigning2010</vt:lpstr>
      <vt:lpstr>PrisStigning2011</vt:lpstr>
      <vt:lpstr>Indeks!Udskriftsområde</vt:lpstr>
      <vt:lpstr>'Kilder og dokumentation'!Udskriftsområde</vt:lpstr>
      <vt:lpstr>'Note pris 10'!Udskriftsområde</vt:lpstr>
      <vt:lpstr>'Reelle vægte'!Udskriftsområde</vt:lpstr>
      <vt:lpstr>'Udvikling i indeks'!Udskriftsområde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2025-03-04T09:28:43Z</cp:lastPrinted>
  <dcterms:created xsi:type="dcterms:W3CDTF">2009-05-19T06:17:18Z</dcterms:created>
  <dcterms:modified xsi:type="dcterms:W3CDTF">2025-06-16T13:24:34Z</dcterms:modified>
</cp:coreProperties>
</file>