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SBLON ØST\"/>
    </mc:Choice>
  </mc:AlternateContent>
  <xr:revisionPtr revIDLastSave="0" documentId="13_ncr:1_{69CC48BC-CFC9-434A-8FB0-93644B67C8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Indeks!$A$1:$J$277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4" i="1" l="1"/>
  <c r="C253" i="1"/>
  <c r="F252" i="1"/>
  <c r="E252" i="1"/>
  <c r="C252" i="1"/>
  <c r="F251" i="1"/>
  <c r="E251" i="1"/>
  <c r="F250" i="1"/>
  <c r="E250" i="1"/>
  <c r="D250" i="1"/>
  <c r="H250" i="1" s="1"/>
  <c r="F249" i="1"/>
  <c r="E249" i="1"/>
  <c r="C251" i="1"/>
  <c r="C250" i="1"/>
  <c r="C249" i="1"/>
  <c r="D249" i="1"/>
  <c r="F247" i="1"/>
  <c r="E248" i="1"/>
  <c r="H249" i="1" l="1"/>
  <c r="E247" i="1"/>
  <c r="C248" i="1"/>
  <c r="C247" i="1"/>
  <c r="C246" i="1"/>
  <c r="C245" i="1"/>
  <c r="C244" i="1"/>
  <c r="C243" i="1"/>
  <c r="C242" i="1"/>
  <c r="E246" i="1" l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E245" i="1" l="1"/>
  <c r="E244" i="1"/>
  <c r="E243" i="1"/>
  <c r="E242" i="1"/>
  <c r="E241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E19" i="2"/>
  <c r="C11" i="8"/>
  <c r="C13" i="8"/>
  <c r="I13" i="8"/>
  <c r="D163" i="1"/>
  <c r="C67" i="2"/>
  <c r="C18" i="5"/>
  <c r="I10" i="1"/>
  <c r="C14" i="8"/>
  <c r="D13" i="8"/>
  <c r="F189" i="1"/>
  <c r="F188" i="1"/>
  <c r="D196" i="1"/>
  <c r="D68" i="2" l="1"/>
  <c r="F187" i="1"/>
  <c r="F248" i="1"/>
  <c r="F246" i="1"/>
  <c r="C67" i="5"/>
  <c r="F67" i="2"/>
  <c r="C128" i="8"/>
  <c r="D246" i="1" s="1"/>
  <c r="C129" i="8"/>
  <c r="D247" i="1" s="1"/>
  <c r="C133" i="8"/>
  <c r="D251" i="1" s="1"/>
  <c r="H251" i="1" s="1"/>
  <c r="C139" i="8"/>
  <c r="C131" i="8"/>
  <c r="C138" i="8"/>
  <c r="C137" i="8"/>
  <c r="C134" i="8"/>
  <c r="D252" i="1" s="1"/>
  <c r="H252" i="1" s="1"/>
  <c r="C136" i="8"/>
  <c r="C132" i="8"/>
  <c r="C130" i="8"/>
  <c r="D248" i="1" s="1"/>
  <c r="C135" i="8"/>
  <c r="H109" i="1"/>
  <c r="C109" i="2" s="1"/>
  <c r="F192" i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F68" i="2"/>
  <c r="G67" i="2"/>
  <c r="E121" i="2"/>
  <c r="D105" i="2"/>
  <c r="C34" i="2"/>
  <c r="C41" i="5"/>
  <c r="E57" i="2"/>
  <c r="E89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D85" i="2"/>
  <c r="C18" i="2"/>
  <c r="E39" i="2"/>
  <c r="D39" i="2"/>
  <c r="C52" i="5"/>
  <c r="I80" i="1"/>
  <c r="D59" i="2"/>
  <c r="C26" i="2"/>
  <c r="C157" i="2"/>
  <c r="D46" i="2"/>
  <c r="F39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D104" i="2" l="1"/>
  <c r="C104" i="2"/>
  <c r="E157" i="2"/>
  <c r="F104" i="2"/>
  <c r="F157" i="2"/>
  <c r="E104" i="2"/>
  <c r="D157" i="2"/>
  <c r="G157" i="2"/>
  <c r="H157" i="2" s="1"/>
  <c r="E138" i="2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H248" i="1" s="1"/>
  <c r="F160" i="1"/>
  <c r="G160" i="1"/>
  <c r="E160" i="1"/>
  <c r="C160" i="5"/>
  <c r="M13" i="8"/>
  <c r="H246" i="1" l="1"/>
  <c r="H247" i="1"/>
  <c r="H156" i="2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H214" i="2" l="1"/>
  <c r="D213" i="5"/>
  <c r="F216" i="2"/>
  <c r="C214" i="5"/>
  <c r="D214" i="5" s="1"/>
  <c r="C215" i="2"/>
  <c r="D215" i="2"/>
  <c r="G215" i="2"/>
  <c r="E215" i="2"/>
  <c r="F215" i="2"/>
  <c r="H215" i="2" l="1"/>
  <c r="C215" i="5"/>
  <c r="C216" i="2"/>
  <c r="D216" i="2"/>
  <c r="G216" i="2"/>
  <c r="E216" i="2"/>
  <c r="C257" i="1" l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63" i="1" s="1"/>
  <c r="C259" i="1"/>
  <c r="C258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H239" i="2" l="1"/>
  <c r="D238" i="5"/>
  <c r="C239" i="5"/>
  <c r="C240" i="2"/>
  <c r="D240" i="2"/>
  <c r="G240" i="2"/>
  <c r="F240" i="2"/>
  <c r="C240" i="5" l="1"/>
  <c r="C241" i="2"/>
  <c r="G241" i="2"/>
  <c r="D241" i="2"/>
  <c r="D239" i="5"/>
  <c r="E239" i="5"/>
  <c r="E241" i="2"/>
  <c r="F241" i="2"/>
  <c r="H240" i="2"/>
  <c r="F244" i="2" l="1"/>
  <c r="E243" i="2"/>
  <c r="C241" i="5"/>
  <c r="C242" i="2"/>
  <c r="G242" i="2"/>
  <c r="D242" i="2"/>
  <c r="E242" i="2"/>
  <c r="H241" i="2"/>
  <c r="F242" i="2"/>
  <c r="D240" i="5"/>
  <c r="C243" i="5" l="1"/>
  <c r="C244" i="2"/>
  <c r="G244" i="2"/>
  <c r="D244" i="2"/>
  <c r="E244" i="2"/>
  <c r="F245" i="2"/>
  <c r="H242" i="2"/>
  <c r="D241" i="5"/>
  <c r="F243" i="2"/>
  <c r="C242" i="5"/>
  <c r="H242" i="5" s="1"/>
  <c r="C243" i="2"/>
  <c r="G243" i="2"/>
  <c r="D243" i="2"/>
  <c r="H244" i="2" l="1"/>
  <c r="D243" i="5"/>
  <c r="C244" i="5"/>
  <c r="D244" i="5" s="1"/>
  <c r="C245" i="2"/>
  <c r="D245" i="2"/>
  <c r="G245" i="2"/>
  <c r="E245" i="2"/>
  <c r="E246" i="2"/>
  <c r="H243" i="2"/>
  <c r="D242" i="5"/>
  <c r="G242" i="5"/>
  <c r="E242" i="5"/>
  <c r="F242" i="5"/>
  <c r="F246" i="2" l="1"/>
  <c r="C245" i="5"/>
  <c r="D245" i="5" s="1"/>
  <c r="C246" i="2"/>
  <c r="D246" i="2"/>
  <c r="G246" i="2"/>
  <c r="H245" i="2"/>
  <c r="E247" i="2"/>
  <c r="H246" i="2" l="1"/>
  <c r="D253" i="1"/>
  <c r="C246" i="5"/>
  <c r="C247" i="2"/>
  <c r="G247" i="2"/>
  <c r="D247" i="2"/>
  <c r="E245" i="5"/>
  <c r="F247" i="2"/>
  <c r="E248" i="2"/>
  <c r="G253" i="1"/>
  <c r="H247" i="2" l="1"/>
  <c r="F248" i="2"/>
  <c r="D246" i="5"/>
  <c r="D254" i="1"/>
  <c r="C247" i="5"/>
  <c r="D247" i="5" s="1"/>
  <c r="C248" i="2"/>
  <c r="D248" i="2"/>
  <c r="G248" i="2"/>
  <c r="E249" i="2"/>
  <c r="G254" i="1"/>
  <c r="C248" i="5" l="1"/>
  <c r="E248" i="5" s="1"/>
  <c r="C249" i="2"/>
  <c r="G249" i="2"/>
  <c r="D249" i="2"/>
  <c r="D255" i="1"/>
  <c r="F249" i="2"/>
  <c r="H248" i="2"/>
  <c r="F253" i="1"/>
  <c r="E253" i="1"/>
  <c r="F250" i="2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H266" i="5" s="1"/>
  <c r="C267" i="2"/>
  <c r="D267" i="2"/>
  <c r="G267" i="2"/>
  <c r="E267" i="2"/>
  <c r="F267" i="2"/>
  <c r="H266" i="2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<sst xmlns="http://schemas.openxmlformats.org/spreadsheetml/2006/main" count="1182" uniqueCount="131">
  <si>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</si>
  <si>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</si>
  <si>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</si>
  <si>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</si>
  <si>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</si>
  <si>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</si>
  <si>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</si>
  <si>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</si>
  <si>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</si>
  <si>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</si>
  <si>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</si>
  <si>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</si>
  <si>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</si>
  <si>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</si>
  <si>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</si>
  <si>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</si>
  <si>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</si>
  <si>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</si>
  <si>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</si>
  <si>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</si>
  <si>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</si>
  <si>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</si>
  <si>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</si>
  <si>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</si>
  <si>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</si>
  <si>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</si>
  <si>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</si>
  <si>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</si>
  <si>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</si>
  <si>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</si>
  <si>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</si>
  <si>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</si>
  <si>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</si>
  <si>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</si>
  <si>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</si>
  <si>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</si>
  <si>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</si>
  <si>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</si>
  <si>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</si>
  <si>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</si>
  <si>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</si>
  <si>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</si>
  <si>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</si>
  <si>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</si>
  <si>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</si>
  <si>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</si>
  <si>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</si>
  <si>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</si>
  <si>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</si>
  <si>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</si>
  <si>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</si>
  <si>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</si>
  <si>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</si>
  <si>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</si>
  <si>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</si>
  <si>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</si>
  <si>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</si>
  <si>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</si>
  <si>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</si>
  <si>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</si>
  <si>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</si>
  <si>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</si>
  <si>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</si>
  <si>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</si>
  <si>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</si>
  <si>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</si>
  <si>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</si>
  <si>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</si>
  <si>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</si>
  <si>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</si>
  <si>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</si>
  <si>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</si>
  <si>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</si>
  <si>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</si>
  <si>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</si>
  <si>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</si>
  <si>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</si>
  <si>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</si>
  <si>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</si>
  <si>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</si>
  <si>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</si>
  <si>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</si>
  <si>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</si>
  <si>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</si>
  <si>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</si>
  <si>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</si>
  <si>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</si>
  <si>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</si>
  <si>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</si>
  <si>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</si>
  <si>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</si>
  <si>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</si>
  <si>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</si>
  <si>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</si>
  <si>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</si>
  <si>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</si>
  <si>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</si>
  <si>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</si>
  <si>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</si>
  <si>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</si>
  <si>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</si>
  <si>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</si>
  <si>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</si>
  <si>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</si>
  <si>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</si>
  <si>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</si>
  <si>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</si>
  <si>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</si>
  <si>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</si>
  <si>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</si>
  <si>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</si>
  <si>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</si>
  <si>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</si>
  <si>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</si>
  <si>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</si>
  <si>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</si>
  <si>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</si>
  <si>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</si>
  <si>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</si>
  <si>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</si>
  <si>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</si>
  <si>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</si>
  <si>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</si>
  <si>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</si>
  <si>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</si>
  <si>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</si>
  <si>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</si>
  <si>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</si>
  <si>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</si>
  <si>
    <r>
      <t>Indeks for prisudviklingen for syntetisk biodiesel er baseret på et svensk HVO-indeks, der offentliggøres på https://partnersamverkan.se/index/index-hvo/.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</si>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</sst>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166" fontId="1" fillId="12" borderId="0" xfId="0" applyNumberFormat="1" applyFont="1" applyFill="1"/>
    <xf numFmtId="0" fontId="4" fillId="6" borderId="0" xfId="0" applyFont="1" applyFill="1" applyAlignment="1">
      <alignment horizontal="center"/>
    </xf>
    <xf numFmtId="166" fontId="1" fillId="8" borderId="1" xfId="0" applyNumberFormat="1" applyFont="1" applyFill="1" applyBorder="1"/>
    <xf numFmtId="166" fontId="1" fillId="7" borderId="0" xfId="0" applyNumberFormat="1" applyFont="1" applyFill="1" applyBorder="1"/>
    <xf numFmtId="166" fontId="1" fillId="6" borderId="0" xfId="0" applyNumberFormat="1" applyFont="1" applyFill="1" applyBorder="1"/>
    <xf numFmtId="2" fontId="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/>
    <xf numFmtId="0" fontId="4" fillId="12" borderId="0" xfId="0" applyFont="1" applyFill="1" applyAlignment="1">
      <alignment horizontal="left" vertical="top" wrapText="1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166" fontId="1" fillId="8" borderId="0" xfId="0" applyNumberFormat="1" applyFont="1" applyFill="1" applyBorder="1"/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7"/>
  <sheetViews>
    <sheetView tabSelected="1" view="pageBreakPreview" topLeftCell="A239" zoomScaleNormal="90" zoomScaleSheetLayoutView="100" workbookViewId="0">
      <selection activeCell="J253" sqref="J253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21.570312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127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69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68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75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" x14ac:dyDescent="0.2">
      <c r="A239" s="12">
        <f t="shared" si="61"/>
        <v>2024</v>
      </c>
      <c r="B239" s="13" t="s">
        <v>13</v>
      </c>
      <c r="C239" s="117">
        <f t="shared" si="64"/>
        <v>156.36348000000001</v>
      </c>
      <c r="D239" s="325">
        <f>+'Beregning HVO indeks'!C118</f>
        <v>344.99573617578505</v>
      </c>
      <c r="E239" s="161">
        <f>131/99.8*118.5</f>
        <v>155.54609218436875</v>
      </c>
      <c r="F239" s="155">
        <f>+F$175*(122.7/103.6)</f>
        <v>124.39055483709409</v>
      </c>
      <c r="G239" s="118">
        <v>3.43</v>
      </c>
      <c r="H239" s="136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321">
        <f>(1.0101*156.1)/121.5*121.5</f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 t="shared" ref="H242:H247" si="70">(100+((C242-$C$163)/$C$163*100*$C$160)+((D242-$D$163)/$D$163*100*$D$160)+((E242-$E$163)/$E$163*100*$E$160)+((F242-$F$163)/$F$163*100*$F$160)+((G242-$G$163)/$G$163*100*$G$160))*$H$163/100</f>
        <v>152.73494619286586</v>
      </c>
      <c r="J242" t="s">
        <v>122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323">
        <f>(1.0101*156.1)/121.5*125.5</f>
        <v>162.86760950617284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 t="shared" si="70"/>
        <v>153.28788302490676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323">
        <f>(1.0101*156.1)/121.5*125.5</f>
        <v>162.86760950617284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 t="shared" si="70"/>
        <v>151.31684562173675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321">
        <f>(1.0101*156.1)/121.5*125.5</f>
        <v>162.86760950617284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 t="shared" si="70"/>
        <v>152.29238818987139</v>
      </c>
      <c r="L245" s="296"/>
    </row>
    <row r="246" spans="1:12" ht="15" x14ac:dyDescent="0.2">
      <c r="A246" s="2">
        <v>2025</v>
      </c>
      <c r="B246" s="142" t="s">
        <v>8</v>
      </c>
      <c r="C246" s="319">
        <f>(1.0101*156.1)/121.5*124.7</f>
        <v>161.82940960493826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 t="shared" si="70"/>
        <v>152.67812202911551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>(1.0101*156.1)/121.5*124.7</f>
        <v>161.82940960493826</v>
      </c>
      <c r="D247" s="114">
        <f>+'Beregning HVO indeks'!C129</f>
        <v>310.7664040052199</v>
      </c>
      <c r="E247" s="169">
        <f>131/99.8*118.9</f>
        <v>156.07114228456916</v>
      </c>
      <c r="F247" s="153">
        <f>+F$175*(123.5/103.6)/113.8*113.8</f>
        <v>125.20157719952012</v>
      </c>
      <c r="G247" s="116">
        <v>2.82</v>
      </c>
      <c r="H247" s="55">
        <f t="shared" si="70"/>
        <v>152.36648388964974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>(1.0101*156.1)/121.5*124.7</f>
        <v>161.82940960493826</v>
      </c>
      <c r="D248" s="210">
        <f>+'Beregning HVO indeks'!C130</f>
        <v>326.79642045556284</v>
      </c>
      <c r="E248" s="161">
        <f>131/99.8*119.6</f>
        <v>156.98997995991985</v>
      </c>
      <c r="F248" s="155">
        <f>+F$175*(123.5/103.6)/113.8*113.1</f>
        <v>124.43144447509424</v>
      </c>
      <c r="G248" s="118">
        <v>2.73</v>
      </c>
      <c r="H248" s="136">
        <f t="shared" ref="H248" si="71">(100+((C248-$C$163)/$C$163*100*$C$160)+((D248-$D$163)/$D$163*100*$D$160)+((E248-$E$163)/$E$163*100*$E$160)+((F248-$F$163)/$F$163*100*$F$160)+((G248-$G$163)/$G$163*100*$G$160))*$H$163/100</f>
        <v>154.15387204668417</v>
      </c>
      <c r="J248" s="142" t="s">
        <v>126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320">
        <f>(1.0101*156.1)/121.5*125.8</f>
        <v>163.25693446913579</v>
      </c>
      <c r="D249" s="330">
        <f>+'Beregning HVO indeks'!C131</f>
        <v>322.65613799003739</v>
      </c>
      <c r="E249" s="326">
        <f>131/99.8*120.8</f>
        <v>158.56513026052104</v>
      </c>
      <c r="F249" s="327">
        <f>+F$175*(123.5/103.6)/113.8*112.9</f>
        <v>124.21140655382972</v>
      </c>
      <c r="G249" s="328">
        <v>2.69</v>
      </c>
      <c r="H249" s="329">
        <f t="shared" ref="H249" si="72">(100+((C249-$C$163)/$C$163*100*$C$160)+((D249-$D$163)/$D$163*100*$D$160)+((E249-$E$163)/$E$163*100*$E$160)+((F249-$F$163)/$F$163*100*$F$160)+((G249-$G$163)/$G$163*100*$G$160))*$H$163/100</f>
        <v>154.4880610373981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320">
        <f t="shared" ref="C250:C252" si="73">(1.0101*156.1)/121.5*125.8</f>
        <v>163.25693446913579</v>
      </c>
      <c r="D250" s="201">
        <f>+'Beregning HVO indeks'!C132</f>
        <v>312.9518565961605</v>
      </c>
      <c r="E250" s="169">
        <f>131/99.8*120.2</f>
        <v>157.77755511022045</v>
      </c>
      <c r="F250" s="153">
        <f>+F$175*(123.5/103.6)/113.8*112.8</f>
        <v>124.10138759319744</v>
      </c>
      <c r="G250" s="116">
        <v>2.75</v>
      </c>
      <c r="H250" s="55">
        <f t="shared" ref="H250" si="74">(100+((C250-$C$163)/$C$163*100*$C$160)+((D250-$D$163)/$D$163*100*$D$160)+((E250-$E$163)/$E$163*100*$E$160)+((F250-$F$163)/$F$163*100*$F$160)+((G250-$G$163)/$G$163*100*$G$160))*$H$163/100</f>
        <v>153.34351304925661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321">
        <f t="shared" si="73"/>
        <v>163.25693446913579</v>
      </c>
      <c r="D251" s="325">
        <f>+'Beregning HVO indeks'!C133</f>
        <v>294.59459420304904</v>
      </c>
      <c r="E251" s="161">
        <f>131/99.8*120.3</f>
        <v>157.90881763527054</v>
      </c>
      <c r="F251" s="155">
        <f>+F$175*(123.5/103.6)/113.8*114.6</f>
        <v>126.08172888457825</v>
      </c>
      <c r="G251" s="118">
        <v>2.61</v>
      </c>
      <c r="H251" s="136">
        <f t="shared" ref="H251" si="75">(100+((C251-$C$163)/$C$163*100*$C$160)+((D251-$D$163)/$D$163*100*$D$160)+((E251-$E$163)/$E$163*100*$E$160)+((F251-$F$163)/$F$163*100*$F$160)+((G251-$G$163)/$G$163*100*$G$160))*$H$163/100</f>
        <v>151.17466959254051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320">
        <f>(1.0101*156.1)/121.5*126.3</f>
        <v>163.90580940740739</v>
      </c>
      <c r="D252" s="339">
        <f>+'Beregning HVO indeks'!C134</f>
        <v>275.60212539636592</v>
      </c>
      <c r="E252" s="326">
        <f>131/99.8*120.4</f>
        <v>158.04008016032066</v>
      </c>
      <c r="F252" s="327">
        <f>+F$175*(123.5/103.6)/113.8*114.9</f>
        <v>126.41178576647506</v>
      </c>
      <c r="G252" s="328">
        <v>2.67</v>
      </c>
      <c r="H252" s="329">
        <f t="shared" ref="H252" si="76">(100+((C252-$C$163)/$C$163*100*$C$160)+((D252-$D$163)/$D$163*100*$D$160)+((E252-$E$163)/$E$163*100*$E$160)+((F252-$F$163)/$F$163*100*$F$160)+((G252-$G$163)/$G$163*100*$G$160))*$H$163/100</f>
        <v>149.38731161299614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320">
        <f t="shared" ref="C253:C254" si="77">(1.0101*156.1)/121.5*126.3</f>
        <v>163.90580940740739</v>
      </c>
      <c r="D253" s="297">
        <f t="shared" si="33"/>
        <v>275.60212539636592</v>
      </c>
      <c r="E253" s="297">
        <f t="shared" ref="E252:E257" si="78">E252*(1+(((SUM(E$234:E$245)-SUM(E$222:E$233))/SUM(E$222:E$233))/12))</f>
        <v>158.19662045324338</v>
      </c>
      <c r="F253" s="297">
        <f t="shared" ref="F252:F257" si="79">F252*(1+(((SUM(F$234:F$245)-SUM(F$222:F$233))/SUM(F$222:F$233))/12))</f>
        <v>126.41749697031381</v>
      </c>
      <c r="G253" s="298">
        <f t="shared" ref="G252:G269" si="80">+G252</f>
        <v>2.67</v>
      </c>
      <c r="H253" s="289">
        <f t="shared" ref="H252:H257" si="81">(100+((C253-$C$163)/$C$163*100*$C$160)+((D253-$D$163)/$D$163*100*$D$160)+((E253-$E$163)/$E$163*100*$E$160)+((F253-$F$163)/$F$163*100*$F$160)+((G253-$G$163)/$G$163*100*$G$160))*$H$163/100</f>
        <v>149.39868359046685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321">
        <f t="shared" si="77"/>
        <v>163.90580940740739</v>
      </c>
      <c r="D254" s="129">
        <f t="shared" si="33"/>
        <v>275.60212539636592</v>
      </c>
      <c r="E254" s="129">
        <f t="shared" si="78"/>
        <v>158.35331580090465</v>
      </c>
      <c r="F254" s="129">
        <f t="shared" si="79"/>
        <v>126.4232084321811</v>
      </c>
      <c r="G254" s="72">
        <f t="shared" si="80"/>
        <v>2.67</v>
      </c>
      <c r="H254" s="290">
        <f t="shared" si="81"/>
        <v>149.41006633157582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ref="C252:C257" si="82">C252*(1+(((SUM(C$234:C$245)-SUM(C$222:C$233))/SUM(C$222:C$233))/4))</f>
        <v>165.65680797453865</v>
      </c>
      <c r="D255" s="128">
        <f t="shared" si="33"/>
        <v>275.60212539636592</v>
      </c>
      <c r="E255" s="128">
        <f t="shared" si="78"/>
        <v>158.51016635688774</v>
      </c>
      <c r="F255" s="128">
        <f t="shared" si="79"/>
        <v>126.42892015208859</v>
      </c>
      <c r="G255" s="71">
        <f t="shared" si="80"/>
        <v>2.67</v>
      </c>
      <c r="H255" s="289">
        <f t="shared" si="81"/>
        <v>150.38886237023894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82"/>
        <v>165.65680797453865</v>
      </c>
      <c r="D256" s="128">
        <f t="shared" si="33"/>
        <v>275.60212539636592</v>
      </c>
      <c r="E256" s="128">
        <f t="shared" si="78"/>
        <v>158.66717227492808</v>
      </c>
      <c r="F256" s="128">
        <f t="shared" si="79"/>
        <v>126.43463213004794</v>
      </c>
      <c r="G256" s="71">
        <f t="shared" si="80"/>
        <v>2.67</v>
      </c>
      <c r="H256" s="289">
        <f t="shared" si="81"/>
        <v>150.40026667055167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82"/>
        <v>165.65680797453865</v>
      </c>
      <c r="D257" s="293">
        <f t="shared" si="33"/>
        <v>275.60212539636592</v>
      </c>
      <c r="E257" s="293">
        <f t="shared" si="78"/>
        <v>158.82433370891331</v>
      </c>
      <c r="F257" s="293">
        <f t="shared" si="79"/>
        <v>126.44034436607082</v>
      </c>
      <c r="G257" s="294">
        <f t="shared" si="80"/>
        <v>2.67</v>
      </c>
      <c r="H257" s="295">
        <f t="shared" si="81"/>
        <v>150.41168176645098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167.1438149232516</v>
      </c>
      <c r="D258" s="128">
        <f t="shared" si="33"/>
        <v>275.60212539636592</v>
      </c>
      <c r="E258" s="128">
        <f>E257*(1+(((SUM(E$246:E$257)-SUM(E$234:E$245))/SUM(E$234:E$245))/12))</f>
        <v>159.02440695264232</v>
      </c>
      <c r="F258" s="128">
        <f>F257*(1+(((SUM(F$246:F$257)-SUM(F$234:F$245))/SUM(F$234:F$245))/12))</f>
        <v>126.51594856452611</v>
      </c>
      <c r="G258" s="71">
        <f t="shared" si="80"/>
        <v>2.67</v>
      </c>
      <c r="H258" s="300">
        <f>(100+((C258-$C$163)/$C$163*100*$C$160)+((D258-$D$163)/$D$163*100*$D$160)+((E258-$E$163)/$E$163*100*$E$160)+((F258-$F$163)/$F$163*100*$F$160)+((G258-$G$163)/$G$163*100*$G$160))*$H$163/100</f>
        <v>151.25409805206544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83">C256*(1+(((SUM(C$246:C$257)-SUM(C$234:C$245))/SUM(C$234:C$245))/4))</f>
        <v>167.1438149232516</v>
      </c>
      <c r="D259" s="128">
        <f t="shared" si="33"/>
        <v>275.60212539636592</v>
      </c>
      <c r="E259" s="128">
        <f t="shared" ref="E259:E269" si="84">E258*(1+(((SUM(E$246:E$257)-SUM(E$234:E$245))/SUM(E$234:E$245))/12))</f>
        <v>159.22473223144632</v>
      </c>
      <c r="F259" s="128">
        <f t="shared" ref="F259:F269" si="85">F258*(1+(((SUM(F$246:F$257)-SUM(F$234:F$245))/SUM(F$234:F$245))/12))</f>
        <v>126.59159797003026</v>
      </c>
      <c r="G259" s="71">
        <f t="shared" si="80"/>
        <v>2.67</v>
      </c>
      <c r="H259" s="300">
        <f t="shared" ref="H259:H269" si="86">(100+((C259-$C$163)/$C$163*100*$C$160)+((D259-$D$163)/$D$163*100*$D$160)+((E259-$E$163)/$E$163*100*$E$160)+((F259-$F$163)/$F$163*100*$F$160)+((G259-$G$163)/$G$163*100*$G$160))*$H$163/100</f>
        <v>151.27498518440962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83"/>
        <v>167.1438149232516</v>
      </c>
      <c r="D260" s="129">
        <f t="shared" ref="D260:D269" si="87">D259</f>
        <v>275.60212539636592</v>
      </c>
      <c r="E260" s="129">
        <f t="shared" si="84"/>
        <v>159.42530986281744</v>
      </c>
      <c r="F260" s="129">
        <f t="shared" si="85"/>
        <v>126.66729260961452</v>
      </c>
      <c r="G260" s="72">
        <f t="shared" si="80"/>
        <v>2.67</v>
      </c>
      <c r="H260" s="301">
        <f t="shared" si="86"/>
        <v>151.29589398837368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83"/>
        <v>168.64416988761545</v>
      </c>
      <c r="D261" s="130">
        <f t="shared" si="87"/>
        <v>275.60212539636592</v>
      </c>
      <c r="E261" s="128">
        <f t="shared" si="84"/>
        <v>159.62614016464775</v>
      </c>
      <c r="F261" s="128">
        <f t="shared" si="85"/>
        <v>126.74303251032633</v>
      </c>
      <c r="G261" s="127">
        <f t="shared" si="80"/>
        <v>2.67</v>
      </c>
      <c r="H261" s="300">
        <f t="shared" si="86"/>
        <v>152.1457498831592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83"/>
        <v>168.64416988761545</v>
      </c>
      <c r="D262" s="128">
        <f t="shared" si="87"/>
        <v>275.60212539636592</v>
      </c>
      <c r="E262" s="128">
        <f t="shared" si="84"/>
        <v>159.82722345522976</v>
      </c>
      <c r="F262" s="128">
        <f t="shared" si="85"/>
        <v>126.81881769922929</v>
      </c>
      <c r="G262" s="71">
        <f t="shared" si="80"/>
        <v>2.67</v>
      </c>
      <c r="H262" s="300">
        <f t="shared" si="86"/>
        <v>152.16670210396862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83"/>
        <v>168.64416988761545</v>
      </c>
      <c r="D263" s="129">
        <f t="shared" si="87"/>
        <v>275.60212539636592</v>
      </c>
      <c r="E263" s="129">
        <f t="shared" si="84"/>
        <v>160.02856005325697</v>
      </c>
      <c r="F263" s="129">
        <f t="shared" si="85"/>
        <v>126.89464820340318</v>
      </c>
      <c r="G263" s="72">
        <f t="shared" si="80"/>
        <v>2.67</v>
      </c>
      <c r="H263" s="301">
        <f t="shared" si="86"/>
        <v>152.18767607006205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83"/>
        <v>170.15799268517506</v>
      </c>
      <c r="D264" s="128">
        <f t="shared" si="87"/>
        <v>275.60212539636592</v>
      </c>
      <c r="E264" s="128">
        <f t="shared" si="84"/>
        <v>160.23015027782432</v>
      </c>
      <c r="F264" s="128">
        <f t="shared" si="85"/>
        <v>126.97052404994398</v>
      </c>
      <c r="G264" s="71">
        <f t="shared" si="80"/>
        <v>2.67</v>
      </c>
      <c r="H264" s="300">
        <f t="shared" si="86"/>
        <v>153.04503799254985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83"/>
        <v>170.15799268517506</v>
      </c>
      <c r="D265" s="128">
        <f t="shared" si="87"/>
        <v>275.60212539636592</v>
      </c>
      <c r="E265" s="128">
        <f t="shared" si="84"/>
        <v>160.43199444842872</v>
      </c>
      <c r="F265" s="128">
        <f t="shared" si="85"/>
        <v>127.04644526596387</v>
      </c>
      <c r="G265" s="71">
        <f t="shared" si="80"/>
        <v>2.67</v>
      </c>
      <c r="H265" s="300">
        <f t="shared" si="86"/>
        <v>153.06605552308054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83"/>
        <v>170.15799268517506</v>
      </c>
      <c r="D266" s="129">
        <f t="shared" si="87"/>
        <v>275.60212539636592</v>
      </c>
      <c r="E266" s="129">
        <f t="shared" si="84"/>
        <v>160.63409288496956</v>
      </c>
      <c r="F266" s="129">
        <f t="shared" si="85"/>
        <v>127.12241187859124</v>
      </c>
      <c r="G266" s="72">
        <f t="shared" si="80"/>
        <v>2.67</v>
      </c>
      <c r="H266" s="301">
        <f t="shared" si="86"/>
        <v>153.08709487282314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83"/>
        <v>171.68540420900928</v>
      </c>
      <c r="D267" s="128">
        <f t="shared" si="87"/>
        <v>275.60212539636592</v>
      </c>
      <c r="E267" s="128">
        <f t="shared" si="84"/>
        <v>160.83644590774921</v>
      </c>
      <c r="F267" s="128">
        <f t="shared" si="85"/>
        <v>127.1984239149707</v>
      </c>
      <c r="G267" s="71">
        <f t="shared" si="80"/>
        <v>2.67</v>
      </c>
      <c r="H267" s="300">
        <f t="shared" si="86"/>
        <v>153.95202983655329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83"/>
        <v>171.68540420900928</v>
      </c>
      <c r="D268" s="128">
        <f t="shared" si="87"/>
        <v>275.60212539636592</v>
      </c>
      <c r="E268" s="128">
        <f t="shared" si="84"/>
        <v>161.03905383747355</v>
      </c>
      <c r="F268" s="128">
        <f t="shared" si="85"/>
        <v>127.27448140226311</v>
      </c>
      <c r="G268" s="71">
        <f t="shared" si="80"/>
        <v>2.67</v>
      </c>
      <c r="H268" s="300">
        <f t="shared" si="86"/>
        <v>153.97311289885351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83"/>
        <v>171.68540420900928</v>
      </c>
      <c r="D269" s="297">
        <f t="shared" si="87"/>
        <v>275.60212539636592</v>
      </c>
      <c r="E269" s="297">
        <f t="shared" si="84"/>
        <v>161.24191699525241</v>
      </c>
      <c r="F269" s="297">
        <f t="shared" si="85"/>
        <v>127.35058436764552</v>
      </c>
      <c r="G269" s="298">
        <f t="shared" si="80"/>
        <v>2.67</v>
      </c>
      <c r="H269" s="300">
        <f t="shared" si="86"/>
        <v>153.9942178545584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113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112</v>
      </c>
      <c r="B274" s="167" t="s">
        <v>114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x14ac:dyDescent="0.2">
      <c r="A275" s="167" t="s">
        <v>124</v>
      </c>
      <c r="B275" s="167" t="s">
        <v>125</v>
      </c>
      <c r="C275" s="167"/>
      <c r="D275" s="167"/>
      <c r="E275" s="167"/>
      <c r="F275" s="167"/>
      <c r="G275" s="167"/>
      <c r="H275" s="324"/>
      <c r="I275" s="167"/>
      <c r="J275" s="167"/>
    </row>
    <row r="276" spans="1:11" ht="15" x14ac:dyDescent="0.2">
      <c r="A276" s="163" t="s">
        <v>70</v>
      </c>
      <c r="B276" s="164" t="s">
        <v>73</v>
      </c>
      <c r="C276" s="164"/>
      <c r="D276" s="164"/>
      <c r="E276" s="164"/>
      <c r="F276" s="313"/>
      <c r="G276" s="164"/>
      <c r="H276" s="316"/>
      <c r="I276" s="164"/>
      <c r="J276" s="164"/>
      <c r="K276" s="165"/>
    </row>
    <row r="277" spans="1:11" ht="50.25" customHeight="1" x14ac:dyDescent="0.2">
      <c r="A277" s="322" t="s">
        <v>121</v>
      </c>
      <c r="B277" s="331" t="s">
        <v>123</v>
      </c>
      <c r="C277" s="331"/>
      <c r="D277" s="331"/>
      <c r="E277" s="331"/>
      <c r="F277" s="331"/>
      <c r="G277" s="331"/>
      <c r="H277" s="331"/>
      <c r="I277" s="331"/>
      <c r="J277" s="331"/>
    </row>
  </sheetData>
  <mergeCells count="1">
    <mergeCell ref="B277:J277"/>
  </mergeCells>
  <phoneticPr fontId="4" type="noConversion"/>
  <pageMargins left="0.74803149606299213" right="0.74803149606299213" top="0.78740157480314965" bottom="0.39370078740157483" header="0" footer="0"/>
  <pageSetup paperSize="9" scale="87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7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I267"/>
  <sheetViews>
    <sheetView topLeftCell="A230" zoomScaleNormal="100" workbookViewId="0">
      <selection activeCell="J253" sqref="J253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38" t="s">
        <v>127</v>
      </c>
      <c r="D3" s="2" t="s">
        <v>75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9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0.58701381298952637</v>
      </c>
      <c r="D241" s="217">
        <f>(Indeks!D243/Indeks!D$163*Indeks!D$160)/(Indeks!$H243/Indeks!$H$163)</f>
        <v>0.24143289080268335</v>
      </c>
      <c r="E241" s="217">
        <f>(Indeks!E243/Indeks!E$163*Indeks!E$160)/(Indeks!$H243/Indeks!$H$163)</f>
        <v>7.0758949121019682E-2</v>
      </c>
      <c r="F241" s="217">
        <f>(Indeks!F243/Indeks!F$163*Indeks!F$160)/(Indeks!$H243/Indeks!$H$163)</f>
        <v>7.5766419818716124E-2</v>
      </c>
      <c r="G241" s="217">
        <f>(Indeks!G243/Indeks!G$163*Indeks!G$160)/(Indeks!$H243/Indeks!$H$163)</f>
        <v>2.502792726805431E-2</v>
      </c>
      <c r="H241" s="217">
        <f t="shared" si="33"/>
        <v>0.99999999999999989</v>
      </c>
    </row>
    <row r="242" spans="1:9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0.59466019351527533</v>
      </c>
      <c r="D242" s="61">
        <f>(Indeks!D244/Indeks!D$163*Indeks!D$160)/(Indeks!$H244/Indeks!$H$163)</f>
        <v>0.23376624696281081</v>
      </c>
      <c r="E242" s="61">
        <f>(Indeks!E244/Indeks!E$163*Indeks!E$160)/(Indeks!$H244/Indeks!$H$163)</f>
        <v>7.1440310329651285E-2</v>
      </c>
      <c r="F242" s="61">
        <f>(Indeks!F244/Indeks!F$163*Indeks!F$160)/(Indeks!$H244/Indeks!$H$163)</f>
        <v>7.6691247102237486E-2</v>
      </c>
      <c r="G242" s="61">
        <f>(Indeks!G244/Indeks!G$163*Indeks!G$160)/(Indeks!$H244/Indeks!$H$163)</f>
        <v>2.3442002090025078E-2</v>
      </c>
      <c r="H242" s="61">
        <f t="shared" si="33"/>
        <v>1</v>
      </c>
    </row>
    <row r="243" spans="1:9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0.59085096615175092</v>
      </c>
      <c r="D243" s="62">
        <f>(Indeks!D245/Indeks!D$163*Indeks!D$160)/(Indeks!$H245/Indeks!$H$163)</f>
        <v>0.23796607128826566</v>
      </c>
      <c r="E243" s="62">
        <f>(Indeks!E245/Indeks!E$163*Indeks!E$160)/(Indeks!$H245/Indeks!$H$163)</f>
        <v>7.1400579995842012E-2</v>
      </c>
      <c r="F243" s="62">
        <f>(Indeks!F245/Indeks!F$163*Indeks!F$160)/(Indeks!$H245/Indeks!$H$163)</f>
        <v>7.582978200743834E-2</v>
      </c>
      <c r="G243" s="62">
        <f>(Indeks!G245/Indeks!G$163*Indeks!G$160)/(Indeks!$H245/Indeks!$H$163)</f>
        <v>2.3952600556703143E-2</v>
      </c>
      <c r="H243" s="62">
        <f t="shared" si="33"/>
        <v>1.0000000000000002</v>
      </c>
    </row>
    <row r="244" spans="1:9" x14ac:dyDescent="0.2">
      <c r="A244" s="2">
        <v>2025</v>
      </c>
      <c r="B244" t="s">
        <v>8</v>
      </c>
      <c r="C244" s="61">
        <f>(Indeks!C246/Indeks!C$163*Indeks!C$160)/(Indeks!$H246/Indeks!$H$163)</f>
        <v>0.58560134487925164</v>
      </c>
      <c r="D244" s="61">
        <f>(Indeks!D246/Indeks!D$163*Indeks!D$160)/(Indeks!$H246/Indeks!$H$163)</f>
        <v>0.2455966286038565</v>
      </c>
      <c r="E244" s="61">
        <f>(Indeks!E246/Indeks!E$163*Indeks!E$160)/(Indeks!$H246/Indeks!$H$163)</f>
        <v>7.0981995292912187E-2</v>
      </c>
      <c r="F244" s="61">
        <f>(Indeks!F246/Indeks!F$163*Indeks!F$160)/(Indeks!$H246/Indeks!$H$163)</f>
        <v>7.5822835283900783E-2</v>
      </c>
      <c r="G244" s="61">
        <f>(Indeks!G246/Indeks!G$163*Indeks!G$160)/(Indeks!$H246/Indeks!$H$163)</f>
        <v>2.1997195940078932E-2</v>
      </c>
      <c r="H244" s="61">
        <f t="shared" ref="H244:H255" si="35">SUM(C244:G244)</f>
        <v>1</v>
      </c>
    </row>
    <row r="245" spans="1:9" x14ac:dyDescent="0.2">
      <c r="A245" s="10">
        <f>A244</f>
        <v>2025</v>
      </c>
      <c r="B245" t="s">
        <v>9</v>
      </c>
      <c r="C245" s="61">
        <f>(Indeks!C247/Indeks!C$163*Indeks!C$160)/(Indeks!$H247/Indeks!$H$163)</f>
        <v>0.58679908672462355</v>
      </c>
      <c r="D245" s="61">
        <f>(Indeks!D247/Indeks!D$163*Indeks!D$160)/(Indeks!$H247/Indeks!$H$163)</f>
        <v>0.2428093077451729</v>
      </c>
      <c r="E245" s="61">
        <f>(Indeks!E247/Indeks!E$163*Indeks!E$160)/(Indeks!$H247/Indeks!$H$163)</f>
        <v>7.0948164802109345E-2</v>
      </c>
      <c r="F245" s="61">
        <f>(Indeks!F247/Indeks!F$163*Indeks!F$160)/(Indeks!$H247/Indeks!$H$163)</f>
        <v>7.6162928368894656E-2</v>
      </c>
      <c r="G245" s="61">
        <f>(Indeks!G247/Indeks!G$163*Indeks!G$160)/(Indeks!$H247/Indeks!$H$163)</f>
        <v>2.3280512359199451E-2</v>
      </c>
      <c r="H245" s="61">
        <f t="shared" si="35"/>
        <v>1</v>
      </c>
    </row>
    <row r="246" spans="1:9" x14ac:dyDescent="0.2">
      <c r="A246" s="12">
        <f t="shared" ref="A246:A255" si="36">A245</f>
        <v>2025</v>
      </c>
      <c r="B246" s="13" t="s">
        <v>10</v>
      </c>
      <c r="C246" s="62">
        <f>(Indeks!C248/Indeks!C$163*Indeks!C$160)/(Indeks!$H248/Indeks!$H$163)</f>
        <v>0.57999525024458642</v>
      </c>
      <c r="D246" s="62">
        <f>(Indeks!D248/Indeks!D$163*Indeks!D$160)/(Indeks!$H248/Indeks!$H$163)</f>
        <v>0.25237339323359675</v>
      </c>
      <c r="E246" s="62">
        <f>(Indeks!E248/Indeks!E$163*Indeks!E$160)/(Indeks!$H248/Indeks!$H$163)</f>
        <v>7.0538382859534732E-2</v>
      </c>
      <c r="F246" s="62">
        <f>(Indeks!F248/Indeks!F$163*Indeks!F$160)/(Indeks!$H248/Indeks!$H$163)</f>
        <v>7.4816775091603283E-2</v>
      </c>
      <c r="G246" s="62">
        <f>(Indeks!G248/Indeks!G$163*Indeks!G$160)/(Indeks!$H248/Indeks!$H$163)</f>
        <v>2.2276198570678765E-2</v>
      </c>
      <c r="H246" s="62">
        <f t="shared" si="35"/>
        <v>1</v>
      </c>
    </row>
    <row r="247" spans="1:9" x14ac:dyDescent="0.2">
      <c r="A247" s="17">
        <f t="shared" si="36"/>
        <v>2025</v>
      </c>
      <c r="B247" s="18" t="s">
        <v>11</v>
      </c>
      <c r="C247" s="61">
        <f>(Indeks!C249/Indeks!C$163*Indeks!C$160)/(Indeks!$H249/Indeks!$H$163)</f>
        <v>0.58384577266672211</v>
      </c>
      <c r="D247" s="61">
        <f>(Indeks!D249/Indeks!D$163*Indeks!D$160)/(Indeks!$H249/Indeks!$H$163)</f>
        <v>0.2486369803652039</v>
      </c>
      <c r="E247" s="61">
        <f>(Indeks!E249/Indeks!E$163*Indeks!E$160)/(Indeks!$H249/Indeks!$H$163)</f>
        <v>7.1092006019624981E-2</v>
      </c>
      <c r="F247" s="61">
        <f>(Indeks!F249/Indeks!F$163*Indeks!F$160)/(Indeks!$H249/Indeks!$H$163)</f>
        <v>7.4522915448208271E-2</v>
      </c>
      <c r="G247" s="61">
        <f>(Indeks!G249/Indeks!G$163*Indeks!G$160)/(Indeks!$H249/Indeks!$H$163)</f>
        <v>2.1902325500240651E-2</v>
      </c>
      <c r="H247" s="61">
        <f t="shared" si="35"/>
        <v>0.99999999999999978</v>
      </c>
    </row>
    <row r="248" spans="1:9" x14ac:dyDescent="0.2">
      <c r="A248" s="10">
        <f t="shared" si="36"/>
        <v>2025</v>
      </c>
      <c r="B248" t="s">
        <v>12</v>
      </c>
      <c r="C248" s="61">
        <f>(Indeks!C250/Indeks!C$163*Indeks!C$160)/(Indeks!$H250/Indeks!$H$163)</f>
        <v>0.58820356708007926</v>
      </c>
      <c r="D248" s="61">
        <f>(Indeks!D250/Indeks!D$163*Indeks!D$160)/(Indeks!$H250/Indeks!$H$163)</f>
        <v>0.24295891403203665</v>
      </c>
      <c r="E248" s="61">
        <f>(Indeks!E250/Indeks!E$163*Indeks!E$160)/(Indeks!$H250/Indeks!$H$163)</f>
        <v>7.1266891491911052E-2</v>
      </c>
      <c r="F248" s="61">
        <f>(Indeks!F250/Indeks!F$163*Indeks!F$160)/(Indeks!$H250/Indeks!$H$163)</f>
        <v>7.5012650028229974E-2</v>
      </c>
      <c r="G248" s="61">
        <f>(Indeks!G250/Indeks!G$163*Indeks!G$160)/(Indeks!$H250/Indeks!$H$163)</f>
        <v>2.2557977367743075E-2</v>
      </c>
      <c r="H248" s="61">
        <f t="shared" si="35"/>
        <v>1</v>
      </c>
    </row>
    <row r="249" spans="1:9" x14ac:dyDescent="0.2">
      <c r="A249" s="12">
        <f t="shared" si="36"/>
        <v>2025</v>
      </c>
      <c r="B249" s="13" t="s">
        <v>13</v>
      </c>
      <c r="C249" s="62">
        <f>(Indeks!C251/Indeks!C$163*Indeks!C$160)/(Indeks!$H251/Indeks!$H$163)</f>
        <v>0.59664229204053154</v>
      </c>
      <c r="D249" s="62">
        <f>(Indeks!D251/Indeks!D$163*Indeks!D$160)/(Indeks!$H251/Indeks!$H$163)</f>
        <v>0.23198850123964831</v>
      </c>
      <c r="E249" s="62">
        <f>(Indeks!E251/Indeks!E$163*Indeks!E$160)/(Indeks!$H251/Indeks!$H$163)</f>
        <v>7.2349470394584892E-2</v>
      </c>
      <c r="F249" s="62">
        <f>(Indeks!F251/Indeks!F$163*Indeks!F$160)/(Indeks!$H251/Indeks!$H$163)</f>
        <v>7.7303010389777632E-2</v>
      </c>
      <c r="G249" s="62">
        <f>(Indeks!G251/Indeks!G$163*Indeks!G$160)/(Indeks!$H251/Indeks!$H$163)</f>
        <v>2.1716725935457405E-2</v>
      </c>
      <c r="H249" s="62">
        <f t="shared" si="35"/>
        <v>0.99999999999999978</v>
      </c>
    </row>
    <row r="250" spans="1:9" x14ac:dyDescent="0.2">
      <c r="A250" s="17">
        <f t="shared" si="36"/>
        <v>2025</v>
      </c>
      <c r="B250" s="22" t="s">
        <v>30</v>
      </c>
      <c r="C250" s="217">
        <f>(Indeks!C252/Indeks!C$163*Indeks!C$160)/(Indeks!$H252/Indeks!$H$163)</f>
        <v>0.60618063761527297</v>
      </c>
      <c r="D250" s="217">
        <f>(Indeks!D252/Indeks!D$163*Indeks!D$160)/(Indeks!$H252/Indeks!$H$163)</f>
        <v>0.21962893955745025</v>
      </c>
      <c r="E250" s="217">
        <f>(Indeks!E252/Indeks!E$163*Indeks!E$160)/(Indeks!$H252/Indeks!$H$163)</f>
        <v>7.3275962600368574E-2</v>
      </c>
      <c r="F250" s="217">
        <f>(Indeks!F252/Indeks!F$163*Indeks!F$160)/(Indeks!$H252/Indeks!$H$163)</f>
        <v>7.8432694340805034E-2</v>
      </c>
      <c r="G250" s="217">
        <f>(Indeks!G252/Indeks!G$163*Indeks!G$160)/(Indeks!$H252/Indeks!$H$163)</f>
        <v>2.2481765886103271E-2</v>
      </c>
      <c r="H250" s="217">
        <f t="shared" si="35"/>
        <v>1</v>
      </c>
      <c r="I250" s="217"/>
    </row>
    <row r="251" spans="1:9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0.60613449616082049</v>
      </c>
      <c r="D251" s="77">
        <f>(Indeks!D253/Indeks!D$163*Indeks!D$160)/(Indeks!$H253/Indeks!$H$163)</f>
        <v>0.21961222177056927</v>
      </c>
      <c r="E251" s="77">
        <f>(Indeks!E253/Indeks!E$163*Indeks!E$160)/(Indeks!$H253/Indeks!$H$163)</f>
        <v>7.3342960011960362E-2</v>
      </c>
      <c r="F251" s="77">
        <f>(Indeks!F253/Indeks!F$163*Indeks!F$160)/(Indeks!$H253/Indeks!$H$163)</f>
        <v>7.8430267444896604E-2</v>
      </c>
      <c r="G251" s="77">
        <f>(Indeks!G253/Indeks!G$163*Indeks!G$160)/(Indeks!$H253/Indeks!$H$163)</f>
        <v>2.2480054611753227E-2</v>
      </c>
      <c r="H251" s="77">
        <f t="shared" si="35"/>
        <v>0.99999999999999989</v>
      </c>
    </row>
    <row r="252" spans="1:9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0.60608831806709207</v>
      </c>
      <c r="D252" s="78">
        <f>(Indeks!D254/Indeks!D$163*Indeks!D$160)/(Indeks!$H254/Indeks!$H$163)</f>
        <v>0.21959549070869266</v>
      </c>
      <c r="E252" s="78">
        <f>(Indeks!E254/Indeks!E$163*Indeks!E$160)/(Indeks!$H254/Indeks!$H$163)</f>
        <v>7.3410013817194281E-2</v>
      </c>
      <c r="F252" s="78">
        <f>(Indeks!F254/Indeks!F$163*Indeks!F$160)/(Indeks!$H254/Indeks!$H$163)</f>
        <v>7.8427835428479392E-2</v>
      </c>
      <c r="G252" s="78">
        <f>(Indeks!G254/Indeks!G$163*Indeks!G$160)/(Indeks!$H254/Indeks!$H$163)</f>
        <v>2.2478341978541531E-2</v>
      </c>
      <c r="H252" s="78">
        <f t="shared" si="35"/>
        <v>0.99999999999999989</v>
      </c>
    </row>
    <row r="253" spans="1:9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0.60857630602428348</v>
      </c>
      <c r="D253" s="79">
        <f>(Indeks!D255/Indeks!D$163*Indeks!D$160)/(Indeks!$H255/Indeks!$H$163)</f>
        <v>0.21816626787246429</v>
      </c>
      <c r="E253" s="79">
        <f>(Indeks!E255/Indeks!E$163*Indeks!E$160)/(Indeks!$H255/Indeks!$H$163)</f>
        <v>7.3004469669924882E-2</v>
      </c>
      <c r="F253" s="79">
        <f>(Indeks!F255/Indeks!F$163*Indeks!F$160)/(Indeks!$H255/Indeks!$H$163)</f>
        <v>7.7920913267992525E-2</v>
      </c>
      <c r="G253" s="79">
        <f>(Indeks!G255/Indeks!G$163*Indeks!G$160)/(Indeks!$H255/Indeks!$H$163)</f>
        <v>2.2332043165334568E-2</v>
      </c>
      <c r="H253" s="79">
        <f t="shared" si="35"/>
        <v>0.99999999999999978</v>
      </c>
    </row>
    <row r="254" spans="1:9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0.60853015991622961</v>
      </c>
      <c r="D254" s="77">
        <f>(Indeks!D256/Indeks!D$163*Indeks!D$160)/(Indeks!$H256/Indeks!$H$163)</f>
        <v>0.21814972512495459</v>
      </c>
      <c r="E254" s="77">
        <f>(Indeks!E256/Indeks!E$163*Indeks!E$160)/(Indeks!$H256/Indeks!$H$163)</f>
        <v>7.3071240189073808E-2</v>
      </c>
      <c r="F254" s="77">
        <f>(Indeks!F256/Indeks!F$163*Indeks!F$160)/(Indeks!$H256/Indeks!$H$163)</f>
        <v>7.7918524961290883E-2</v>
      </c>
      <c r="G254" s="77">
        <f>(Indeks!G256/Indeks!G$163*Indeks!G$160)/(Indeks!$H256/Indeks!$H$163)</f>
        <v>2.2330349808451021E-2</v>
      </c>
      <c r="H254" s="77">
        <f t="shared" si="35"/>
        <v>1</v>
      </c>
    </row>
    <row r="255" spans="1:9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0.60848397713274172</v>
      </c>
      <c r="D255" s="250">
        <f>(Indeks!D257/Indeks!D$163*Indeks!D$160)/(Indeks!$H257/Indeks!$H$163)</f>
        <v>0.21813316922980427</v>
      </c>
      <c r="E255" s="250">
        <f>(Indeks!E257/Indeks!E$163*Indeks!E$160)/(Indeks!$H257/Indeks!$H$163)</f>
        <v>7.3138066948251729E-2</v>
      </c>
      <c r="F255" s="250">
        <f>(Indeks!F257/Indeks!F$163*Indeks!F$160)/(Indeks!$H257/Indeks!$H$163)</f>
        <v>7.791613158345996E-2</v>
      </c>
      <c r="G255" s="250">
        <f>(Indeks!G257/Indeks!G$163*Indeks!G$160)/(Indeks!$H257/Indeks!$H$163)</f>
        <v>2.2328655105742192E-2</v>
      </c>
      <c r="H255" s="250">
        <f t="shared" si="35"/>
        <v>1</v>
      </c>
    </row>
    <row r="256" spans="1:9" x14ac:dyDescent="0.2">
      <c r="A256" s="2">
        <v>2026</v>
      </c>
      <c r="B256" t="s">
        <v>8</v>
      </c>
      <c r="C256" s="77">
        <f>(Indeks!C258/Indeks!C$163*Indeks!C$160)/(Indeks!$H258/Indeks!$H$163)</f>
        <v>0.61052659278746257</v>
      </c>
      <c r="D256" s="77">
        <f>(Indeks!D258/Indeks!D$163*Indeks!D$160)/(Indeks!$H258/Indeks!$H$163)</f>
        <v>0.21691826704494821</v>
      </c>
      <c r="E256" s="77">
        <f>(Indeks!E258/Indeks!E$163*Indeks!E$160)/(Indeks!$H258/Indeks!$H$163)</f>
        <v>7.2822341210575528E-2</v>
      </c>
      <c r="F256" s="77">
        <f>(Indeks!F258/Indeks!F$163*Indeks!F$160)/(Indeks!$H258/Indeks!$H$163)</f>
        <v>7.7528504268206885E-2</v>
      </c>
      <c r="G256" s="77">
        <f>(Indeks!G258/Indeks!G$163*Indeks!G$160)/(Indeks!$H258/Indeks!$H$163)</f>
        <v>2.2204294688806771E-2</v>
      </c>
      <c r="H256" s="77">
        <f t="shared" ref="H256:H267" si="37">SUM(C256:G256)</f>
        <v>1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0.61044229497888802</v>
      </c>
      <c r="D257" s="77">
        <f>(Indeks!D259/Indeks!D$163*Indeks!D$160)/(Indeks!$H259/Indeks!$H$163)</f>
        <v>0.21688831628642649</v>
      </c>
      <c r="E257" s="77">
        <f>(Indeks!E259/Indeks!E$163*Indeks!E$160)/(Indeks!$H259/Indeks!$H$163)</f>
        <v>7.2904009003124881E-2</v>
      </c>
      <c r="F257" s="77">
        <f>(Indeks!F259/Indeks!F$163*Indeks!F$160)/(Indeks!$H259/Indeks!$H$163)</f>
        <v>7.7564150877076674E-2</v>
      </c>
      <c r="G257" s="77">
        <f>(Indeks!G259/Indeks!G$163*Indeks!G$160)/(Indeks!$H259/Indeks!$H$163)</f>
        <v>2.2201228854483876E-2</v>
      </c>
      <c r="H257" s="77">
        <f t="shared" si="37"/>
        <v>0.99999999999999989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0.61035793301809316</v>
      </c>
      <c r="D258" s="78">
        <f>(Indeks!D260/Indeks!D$163*Indeks!D$160)/(Indeks!$H260/Indeks!$H$163)</f>
        <v>0.21685834273481328</v>
      </c>
      <c r="E258" s="78">
        <f>(Indeks!E260/Indeks!E$163*Indeks!E$160)/(Indeks!$H260/Indeks!$H$163)</f>
        <v>7.2985759320292276E-2</v>
      </c>
      <c r="F258" s="78">
        <f>(Indeks!F260/Indeks!F$163*Indeks!F$160)/(Indeks!$H260/Indeks!$H$163)</f>
        <v>7.7599804239797912E-2</v>
      </c>
      <c r="G258" s="78">
        <f>(Indeks!G260/Indeks!G$163*Indeks!G$160)/(Indeks!$H260/Indeks!$H$163)</f>
        <v>2.21981606870033E-2</v>
      </c>
      <c r="H258" s="78">
        <f t="shared" si="37"/>
        <v>1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0.61239682735204481</v>
      </c>
      <c r="D259" s="79">
        <f>(Indeks!D261/Indeks!D$163*Indeks!D$160)/(Indeks!$H261/Indeks!$H$163)</f>
        <v>0.21564701516865953</v>
      </c>
      <c r="E259" s="79">
        <f>(Indeks!E261/Indeks!E$163*Indeks!E$160)/(Indeks!$H261/Indeks!$H$163)</f>
        <v>7.266950300755004E-2</v>
      </c>
      <c r="F259" s="79">
        <f>(Indeks!F261/Indeks!F$163*Indeks!F$160)/(Indeks!$H261/Indeks!$H$163)</f>
        <v>7.7212488294794088E-2</v>
      </c>
      <c r="G259" s="79">
        <f>(Indeks!G261/Indeks!G$163*Indeks!G$160)/(Indeks!$H261/Indeks!$H$163)</f>
        <v>2.2074166176951369E-2</v>
      </c>
      <c r="H259" s="79">
        <f t="shared" si="37"/>
        <v>0.99999999999999989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0.61231250487299882</v>
      </c>
      <c r="D260" s="77">
        <f>(Indeks!D262/Indeks!D$163*Indeks!D$160)/(Indeks!$H262/Indeks!$H$163)</f>
        <v>0.21561732218184815</v>
      </c>
      <c r="E260" s="77">
        <f>(Indeks!E262/Indeks!E$163*Indeks!E$160)/(Indeks!$H262/Indeks!$H$163)</f>
        <v>7.2751027147339276E-2</v>
      </c>
      <c r="F260" s="77">
        <f>(Indeks!F262/Indeks!F$163*Indeks!F$160)/(Indeks!$H262/Indeks!$H$163)</f>
        <v>7.7248019069030158E-2</v>
      </c>
      <c r="G260" s="77">
        <f>(Indeks!G262/Indeks!G$163*Indeks!G$160)/(Indeks!$H262/Indeks!$H$163)</f>
        <v>2.2071126728783481E-2</v>
      </c>
      <c r="H260" s="77">
        <f t="shared" si="37"/>
        <v>0.99999999999999989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0.612228118133892</v>
      </c>
      <c r="D261" s="78">
        <f>(Indeks!D263/Indeks!D$163*Indeks!D$160)/(Indeks!$H263/Indeks!$H$163)</f>
        <v>0.21558760656675122</v>
      </c>
      <c r="E261" s="78">
        <f>(Indeks!E263/Indeks!E$163*Indeks!E$160)/(Indeks!$H263/Indeks!$H$163)</f>
        <v>7.2832633719009263E-2</v>
      </c>
      <c r="F261" s="78">
        <f>(Indeks!F263/Indeks!F$163*Indeks!F$160)/(Indeks!$H263/Indeks!$H$163)</f>
        <v>7.7283556616019641E-2</v>
      </c>
      <c r="G261" s="78">
        <f>(Indeks!G263/Indeks!G$163*Indeks!G$160)/(Indeks!$H263/Indeks!$H$163)</f>
        <v>2.2068084964327862E-2</v>
      </c>
      <c r="H261" s="78">
        <f t="shared" si="37"/>
        <v>1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0.61426323873772259</v>
      </c>
      <c r="D262" s="79">
        <f>(Indeks!D264/Indeks!D$163*Indeks!D$160)/(Indeks!$H264/Indeks!$H$163)</f>
        <v>0.21437987969592243</v>
      </c>
      <c r="E262" s="79">
        <f>(Indeks!E264/Indeks!E$163*Indeks!E$160)/(Indeks!$H264/Indeks!$H$163)</f>
        <v>7.2515857897828134E-2</v>
      </c>
      <c r="F262" s="79">
        <f>(Indeks!F264/Indeks!F$163*Indeks!F$160)/(Indeks!$H264/Indeks!$H$163)</f>
        <v>7.6896564638099213E-2</v>
      </c>
      <c r="G262" s="79">
        <f>(Indeks!G264/Indeks!G$163*Indeks!G$160)/(Indeks!$H264/Indeks!$H$163)</f>
        <v>2.1944459030427532E-2</v>
      </c>
      <c r="H262" s="79">
        <f t="shared" si="37"/>
        <v>0.99999999999999989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0.61417889413022664</v>
      </c>
      <c r="D263" s="77">
        <f>(Indeks!D265/Indeks!D$163*Indeks!D$160)/(Indeks!$H265/Indeks!$H$163)</f>
        <v>0.21435044315199847</v>
      </c>
      <c r="E263" s="77">
        <f>(Indeks!E265/Indeks!E$163*Indeks!E$160)/(Indeks!$H265/Indeks!$H$163)</f>
        <v>7.2597237432391812E-2</v>
      </c>
      <c r="F263" s="77">
        <f>(Indeks!F265/Indeks!F$163*Indeks!F$160)/(Indeks!$H265/Indeks!$H$163)</f>
        <v>7.6931979452989949E-2</v>
      </c>
      <c r="G263" s="77">
        <f>(Indeks!G265/Indeks!G$163*Indeks!G$160)/(Indeks!$H265/Indeks!$H$163)</f>
        <v>2.194144583239303E-2</v>
      </c>
      <c r="H263" s="77">
        <f t="shared" si="37"/>
        <v>0.99999999999999978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0.61409448515657106</v>
      </c>
      <c r="D264" s="78">
        <f>(Indeks!D266/Indeks!D$163*Indeks!D$160)/(Indeks!$H266/Indeks!$H$163)</f>
        <v>0.21432098414407422</v>
      </c>
      <c r="E264" s="78">
        <f>(Indeks!E266/Indeks!E$163*Indeks!E$160)/(Indeks!$H266/Indeks!$H$163)</f>
        <v>7.2678699305114641E-2</v>
      </c>
      <c r="F264" s="78">
        <f>(Indeks!F266/Indeks!F$163*Indeks!F$160)/(Indeks!$H266/Indeks!$H$163)</f>
        <v>7.6967401059352708E-2</v>
      </c>
      <c r="G264" s="78">
        <f>(Indeks!G266/Indeks!G$163*Indeks!G$160)/(Indeks!$H266/Indeks!$H$163)</f>
        <v>2.1938430334887446E-2</v>
      </c>
      <c r="H264" s="78">
        <f t="shared" si="37"/>
        <v>1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0.61612578009409402</v>
      </c>
      <c r="D265" s="79">
        <f>(Indeks!D267/Indeks!D$163*Indeks!D$160)/(Indeks!$H267/Indeks!$H$163)</f>
        <v>0.2131168836665159</v>
      </c>
      <c r="E265" s="79">
        <f>(Indeks!E267/Indeks!E$163*Indeks!E$160)/(Indeks!$H267/Indeks!$H$163)</f>
        <v>7.2361415054860323E-2</v>
      </c>
      <c r="F265" s="79">
        <f>(Indeks!F267/Indeks!F$163*Indeks!F$160)/(Indeks!$H267/Indeks!$H$163)</f>
        <v>7.6580745576885351E-2</v>
      </c>
      <c r="G265" s="79">
        <f>(Indeks!G267/Indeks!G$163*Indeks!G$160)/(Indeks!$H267/Indeks!$H$163)</f>
        <v>2.18151756076445E-2</v>
      </c>
      <c r="H265" s="79">
        <f t="shared" si="37"/>
        <v>1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0.61604141589594319</v>
      </c>
      <c r="D266" s="77">
        <f>(Indeks!D268/Indeks!D$163*Indeks!D$160)/(Indeks!$H268/Indeks!$H$163)</f>
        <v>0.21308770223054321</v>
      </c>
      <c r="E266" s="77">
        <f>(Indeks!E268/Indeks!E$163*Indeks!E$160)/(Indeks!$H268/Indeks!$H$163)</f>
        <v>7.2442649039292123E-2</v>
      </c>
      <c r="F266" s="77">
        <f>(Indeks!F268/Indeks!F$163*Indeks!F$160)/(Indeks!$H268/Indeks!$H$163)</f>
        <v>7.6616044311125661E-2</v>
      </c>
      <c r="G266" s="77">
        <f>(Indeks!G268/Indeks!G$163*Indeks!G$160)/(Indeks!$H268/Indeks!$H$163)</f>
        <v>2.1812188523095986E-2</v>
      </c>
      <c r="H266" s="77">
        <f t="shared" si="37"/>
        <v>1.0000000000000002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0.61595698722728287</v>
      </c>
      <c r="D267" s="318">
        <f>(Indeks!D269/Indeks!D$163*Indeks!D$160)/(Indeks!$H269/Indeks!$H$163)</f>
        <v>0.21305849849432845</v>
      </c>
      <c r="E267" s="318">
        <f>(Indeks!E269/Indeks!E$163*Indeks!E$160)/(Indeks!$H269/Indeks!$H$163)</f>
        <v>7.2523965267179552E-2</v>
      </c>
      <c r="F267" s="318">
        <f>(Indeks!F269/Indeks!F$163*Indeks!F$160)/(Indeks!$H269/Indeks!$H$163)</f>
        <v>7.6651349855370116E-2</v>
      </c>
      <c r="G267" s="318">
        <f>(Indeks!G269/Indeks!G$163*Indeks!G$160)/(Indeks!$H269/Indeks!$H$163)</f>
        <v>2.1809199155839089E-2</v>
      </c>
      <c r="H267" s="318">
        <f t="shared" si="37"/>
        <v>1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5" zoomScaleNormal="100" workbookViewId="0">
      <selection activeCell="J253" sqref="J253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153.28788302490676</v>
      </c>
      <c r="D240" s="259">
        <f t="shared" si="32"/>
        <v>3.6202378422465209E-3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151.31684562173675</v>
      </c>
      <c r="D241" s="269">
        <f t="shared" si="32"/>
        <v>-1.2858403184090907E-2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152.29238818987139</v>
      </c>
      <c r="D242" s="288">
        <f t="shared" si="32"/>
        <v>6.4470189298904152E-3</v>
      </c>
      <c r="E242" s="288">
        <f>(SUM(C240:C242)-SUM(C237:C239))/SUM(C237:C239)</f>
        <v>6.2214614498374112E-4</v>
      </c>
      <c r="F242" s="288">
        <f>(SUM(C237:C242)-SUM(C231:C236))/SUM(C231:C236)</f>
        <v>-3.53498344052839E-2</v>
      </c>
      <c r="G242" s="288">
        <f>(SUM(C231:C242)-SUM(C219:C230))/SUM(C219:C230)</f>
        <v>-5.3676382200237745E-2</v>
      </c>
      <c r="H242" s="287">
        <f>(C231+C232+C233+C234+C235+C236+C237+C238+C239+C240+C241+C242)/12</f>
        <v>155.04134198224742</v>
      </c>
    </row>
    <row r="243" spans="1:8" x14ac:dyDescent="0.2">
      <c r="A243" s="2">
        <v>2025</v>
      </c>
      <c r="B243" t="s">
        <v>8</v>
      </c>
      <c r="C243" s="254">
        <f>Indeks!H246</f>
        <v>152.67812202911551</v>
      </c>
      <c r="D243" s="255">
        <f t="shared" ref="D243:D254" si="34">(C243-C242)/C242</f>
        <v>2.5328504190452981E-3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258">
        <f>Indeks!H247</f>
        <v>152.36648388964974</v>
      </c>
      <c r="D244" s="259">
        <f t="shared" si="34"/>
        <v>-2.0411446992146119E-3</v>
      </c>
      <c r="E244" s="259"/>
      <c r="F244" s="259"/>
      <c r="G244" s="259"/>
      <c r="H244" s="258"/>
    </row>
    <row r="245" spans="1:8" x14ac:dyDescent="0.2">
      <c r="A245" s="12">
        <f t="shared" ref="A245:A254" si="35">A244</f>
        <v>2025</v>
      </c>
      <c r="B245" s="13" t="s">
        <v>10</v>
      </c>
      <c r="C245" s="262">
        <f>Indeks!H248</f>
        <v>154.15387204668417</v>
      </c>
      <c r="D245" s="263">
        <f t="shared" si="34"/>
        <v>1.1730848618446366E-2</v>
      </c>
      <c r="E245" s="263">
        <f>(SUM(C243:C245)-SUM(C240:C242))/SUM(C240:C242)</f>
        <v>5.0369351088682098E-3</v>
      </c>
      <c r="F245" s="263"/>
      <c r="G245" s="263"/>
      <c r="H245" s="262"/>
    </row>
    <row r="246" spans="1:8" x14ac:dyDescent="0.2">
      <c r="A246" s="17">
        <f t="shared" si="35"/>
        <v>2025</v>
      </c>
      <c r="B246" s="18" t="s">
        <v>11</v>
      </c>
      <c r="C246" s="258">
        <f>Indeks!H249</f>
        <v>154.4880610373981</v>
      </c>
      <c r="D246" s="259">
        <f t="shared" si="34"/>
        <v>2.1678922901963819E-3</v>
      </c>
      <c r="E246" s="259"/>
      <c r="F246" s="259"/>
      <c r="G246" s="259"/>
      <c r="H246" s="258"/>
    </row>
    <row r="247" spans="1:8" x14ac:dyDescent="0.2">
      <c r="A247" s="10">
        <f t="shared" si="35"/>
        <v>2025</v>
      </c>
      <c r="B247" t="s">
        <v>12</v>
      </c>
      <c r="C247" s="268">
        <f>Indeks!H250</f>
        <v>153.34351304925661</v>
      </c>
      <c r="D247" s="269">
        <f t="shared" si="34"/>
        <v>-7.4086500953909522E-3</v>
      </c>
      <c r="E247" s="269"/>
      <c r="F247" s="269"/>
      <c r="G247" s="269"/>
      <c r="H247" s="268"/>
    </row>
    <row r="248" spans="1:8" x14ac:dyDescent="0.2">
      <c r="A248" s="12">
        <f t="shared" si="35"/>
        <v>2025</v>
      </c>
      <c r="B248" s="13" t="s">
        <v>13</v>
      </c>
      <c r="C248" s="272">
        <f>Indeks!H251</f>
        <v>151.17466959254051</v>
      </c>
      <c r="D248" s="273">
        <f t="shared" si="34"/>
        <v>-1.4143692247479902E-2</v>
      </c>
      <c r="E248" s="273">
        <f>(SUM(C246:C248)-SUM(C243:C245))/SUM(C243:C245)</f>
        <v>-4.1863005972036507E-4</v>
      </c>
      <c r="F248" s="273">
        <f>(SUM(C243:C248)-SUM(C237:C242))/SUM(C237:C242)</f>
        <v>5.1390430566528658E-3</v>
      </c>
      <c r="G248" s="273"/>
      <c r="H248" s="272"/>
    </row>
    <row r="249" spans="1:8" x14ac:dyDescent="0.2">
      <c r="A249" s="17">
        <f t="shared" si="35"/>
        <v>2025</v>
      </c>
      <c r="B249" s="22" t="s">
        <v>30</v>
      </c>
      <c r="C249" s="276">
        <f>Indeks!H252</f>
        <v>149.38731161299614</v>
      </c>
      <c r="D249" s="277">
        <f t="shared" si="34"/>
        <v>-1.1823131377510628E-2</v>
      </c>
      <c r="E249" s="277"/>
      <c r="F249" s="277"/>
      <c r="G249" s="277"/>
      <c r="H249" s="278"/>
    </row>
    <row r="250" spans="1:8" x14ac:dyDescent="0.2">
      <c r="A250" s="10">
        <f t="shared" si="35"/>
        <v>2025</v>
      </c>
      <c r="B250" t="s">
        <v>14</v>
      </c>
      <c r="C250" s="156">
        <f>Indeks!H253</f>
        <v>149.39868359046685</v>
      </c>
      <c r="D250" s="133">
        <f t="shared" si="34"/>
        <v>7.6124118895468874E-5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149.41006633157582</v>
      </c>
      <c r="D251" s="159">
        <f t="shared" si="34"/>
        <v>7.6190370861478924E-5</v>
      </c>
      <c r="E251" s="159">
        <f>(SUM(C249:C251)-SUM(C246:C248))/SUM(C246:C248)</f>
        <v>-2.3551274722336341E-2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150.38886237023894</v>
      </c>
      <c r="D252" s="133">
        <f t="shared" si="34"/>
        <v>6.5510715756657446E-3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150.40026667055167</v>
      </c>
      <c r="D253" s="133">
        <f t="shared" si="34"/>
        <v>7.5832080467884324E-5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150.41168176645098</v>
      </c>
      <c r="D254" s="250">
        <f t="shared" si="34"/>
        <v>7.5898109438288697E-5</v>
      </c>
      <c r="E254" s="251">
        <f>(SUM(C252:C254)-SUM(C249:C251))/SUM(C249:C251)</f>
        <v>6.7040956627591498E-3</v>
      </c>
      <c r="F254" s="251">
        <f>(SUM(C249:C254)-SUM(C243:C248))/SUM(C243:C248)</f>
        <v>-2.0483285327346768E-2</v>
      </c>
      <c r="G254" s="251">
        <f>(SUM(C243:C254)-SUM(C231:C242))/SUM(C231:C242)</f>
        <v>-2.30554150114766E-2</v>
      </c>
      <c r="H254" s="252">
        <f>(C243+C244+C245+C246+C247+C248+C249+C250+C251+C252+C253+C254)/12</f>
        <v>151.46679949891043</v>
      </c>
    </row>
    <row r="255" spans="1:8" x14ac:dyDescent="0.2">
      <c r="A255" s="2">
        <v>2026</v>
      </c>
      <c r="B255" t="s">
        <v>8</v>
      </c>
      <c r="C255" s="156">
        <f>Indeks!H258</f>
        <v>151.25409805206544</v>
      </c>
      <c r="D255" s="133">
        <f t="shared" ref="D255:D266" si="36">(C255-C254)/C254</f>
        <v>5.6007370951579984E-3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151.27498518440962</v>
      </c>
      <c r="D256" s="133">
        <f t="shared" si="36"/>
        <v>1.3809300120239655E-4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151.29589398837368</v>
      </c>
      <c r="D257" s="159">
        <f t="shared" si="36"/>
        <v>1.3821719393046603E-4</v>
      </c>
      <c r="E257" s="159">
        <f>(SUM(C255:C257)-SUM(C252:C254))/SUM(C252:C254)</f>
        <v>5.8159612189353739E-3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152.1457498831592</v>
      </c>
      <c r="D258" s="160">
        <f t="shared" si="36"/>
        <v>5.6171775213597489E-3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152.16670210396862</v>
      </c>
      <c r="D259" s="133">
        <f t="shared" si="36"/>
        <v>1.3771150903334642E-4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152.18767607006205</v>
      </c>
      <c r="D260" s="159">
        <f t="shared" si="36"/>
        <v>1.378354515372587E-4</v>
      </c>
      <c r="E260" s="159">
        <f>(SUM(C258:C260)-SUM(C255:C257))/SUM(C255:C257)</f>
        <v>5.8946751866759701E-3</v>
      </c>
      <c r="F260" s="159">
        <f>(SUM(C255:C260)-SUM(C249:C254))/SUM(C249:C254)</f>
        <v>1.2150623685512786E-2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153.04503799254985</v>
      </c>
      <c r="D261" s="160">
        <f t="shared" si="36"/>
        <v>5.6335831167636527E-3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153.06605552308054</v>
      </c>
      <c r="D262" s="133">
        <f t="shared" si="36"/>
        <v>1.3732905559282426E-4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153.08709487282314</v>
      </c>
      <c r="D263" s="159">
        <f t="shared" si="36"/>
        <v>1.3745274659825383E-4</v>
      </c>
      <c r="E263" s="159">
        <f>(SUM(C261:C263)-SUM(C258:C260))/SUM(C258:C260)</f>
        <v>5.9103167018733204E-3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153.95202983655329</v>
      </c>
      <c r="D264" s="133">
        <f t="shared" si="36"/>
        <v>5.6499534754950644E-3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153.97311289885351</v>
      </c>
      <c r="D265" s="133">
        <f t="shared" si="36"/>
        <v>1.3694565977859636E-4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153.9942178545584</v>
      </c>
      <c r="D266" s="250">
        <f t="shared" si="36"/>
        <v>1.3706909802329773E-4</v>
      </c>
      <c r="E266" s="251">
        <f>(SUM(C264:C266)-SUM(C261:C263))/SUM(C261:C263)</f>
        <v>5.9259210300056852E-3</v>
      </c>
      <c r="F266" s="251">
        <f>(SUM(C261:C266)-SUM(C255:C260))/SUM(C255:C260)</f>
        <v>1.1855592725893677E-2</v>
      </c>
      <c r="G266" s="251">
        <f>(SUM(C255:C266)-SUM(C243:C254))/SUM(C243:C254)</f>
        <v>7.6150132786645692E-3</v>
      </c>
      <c r="H266" s="252">
        <f>(C255+C256+C257+C258+C259+C260+C261+C262+C263+C264+C265+C266)/12</f>
        <v>152.62022118837146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topLeftCell="A6" zoomScaleNormal="100" workbookViewId="0">
      <selection activeCell="J253" sqref="J253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103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112" t="s">
        <v>3</v>
      </c>
      <c r="B5" s="141" t="s">
        <v>128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75</v>
      </c>
      <c r="B6" s="332" t="s">
        <v>129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32"/>
      <c r="D7" s="6"/>
      <c r="E7" s="61"/>
      <c r="F7" s="61"/>
    </row>
    <row r="8" spans="1:6" ht="66" customHeight="1" x14ac:dyDescent="0.2">
      <c r="A8" s="112"/>
      <c r="B8" s="216" t="s">
        <v>108</v>
      </c>
      <c r="D8" s="6"/>
      <c r="E8" s="61"/>
      <c r="F8" s="61"/>
    </row>
    <row r="9" spans="1:6" ht="66" customHeight="1" x14ac:dyDescent="0.2">
      <c r="A9" s="112"/>
      <c r="B9" s="333" t="s">
        <v>109</v>
      </c>
      <c r="C9" s="333"/>
      <c r="D9" s="333"/>
      <c r="E9" s="333"/>
      <c r="F9" s="61"/>
    </row>
    <row r="10" spans="1:6" ht="25.5" x14ac:dyDescent="0.2">
      <c r="A10" s="112" t="s">
        <v>5</v>
      </c>
      <c r="B10" s="141" t="s">
        <v>71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72</v>
      </c>
      <c r="D11" s="6"/>
      <c r="E11" s="61"/>
      <c r="F11" s="61"/>
    </row>
    <row r="12" spans="1:6" ht="127.5" x14ac:dyDescent="0.2">
      <c r="A12" s="112" t="s">
        <v>6</v>
      </c>
      <c r="B12" s="141" t="s">
        <v>130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120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119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8" zoomScale="118" zoomScaleNormal="100" zoomScaleSheetLayoutView="118" workbookViewId="0">
      <selection activeCell="J253" sqref="J253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36" t="s">
        <v>104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</row>
    <row r="2" spans="1:14" ht="13.5" thickBot="1" x14ac:dyDescent="0.2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</row>
    <row r="3" spans="1:14" x14ac:dyDescent="0.2">
      <c r="A3" s="200" t="s">
        <v>102</v>
      </c>
      <c r="B3" s="48"/>
      <c r="C3" s="49"/>
      <c r="D3" s="49"/>
      <c r="E3" s="49"/>
      <c r="F3" s="49"/>
      <c r="G3" s="142" t="s">
        <v>78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79</v>
      </c>
      <c r="G4" s="191" t="s">
        <v>111</v>
      </c>
      <c r="N4" s="192"/>
    </row>
    <row r="5" spans="1:14" x14ac:dyDescent="0.2">
      <c r="A5" s="208" t="s">
        <v>80</v>
      </c>
      <c r="B5" s="207" t="s">
        <v>4</v>
      </c>
      <c r="C5" s="207" t="s">
        <v>75</v>
      </c>
      <c r="D5" s="207" t="s">
        <v>81</v>
      </c>
      <c r="G5" s="227" t="s">
        <v>82</v>
      </c>
      <c r="H5" s="225" t="s">
        <v>3</v>
      </c>
      <c r="I5" s="225" t="s">
        <v>4</v>
      </c>
      <c r="J5" s="211" t="s">
        <v>83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84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85</v>
      </c>
      <c r="B7" s="21">
        <f>B6*0.25</f>
        <v>0.92249999999999999</v>
      </c>
      <c r="C7" s="21">
        <f>C6*0.25</f>
        <v>2.0499999999999998</v>
      </c>
      <c r="G7" s="180" t="s">
        <v>86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87</v>
      </c>
      <c r="B8">
        <v>2.7109999999999999</v>
      </c>
      <c r="C8" s="21">
        <f>C17*C18</f>
        <v>2.594592</v>
      </c>
      <c r="G8" s="180" t="s">
        <v>88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89</v>
      </c>
      <c r="B9">
        <v>0.43</v>
      </c>
      <c r="G9" s="182" t="s">
        <v>90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91</v>
      </c>
      <c r="B10">
        <v>8.9999999999999993E-3</v>
      </c>
      <c r="G10" s="228" t="s">
        <v>92</v>
      </c>
      <c r="H10" s="225" t="s">
        <v>3</v>
      </c>
      <c r="I10" s="225" t="s">
        <v>75</v>
      </c>
      <c r="J10" s="211" t="s">
        <v>83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93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94</v>
      </c>
      <c r="B12">
        <v>1</v>
      </c>
      <c r="C12" s="21">
        <v>0.96</v>
      </c>
      <c r="G12" s="180" t="s">
        <v>86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95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88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97</v>
      </c>
      <c r="C14" s="21">
        <f>C13-B13</f>
        <v>5.6172833333333347</v>
      </c>
      <c r="G14" s="182" t="s">
        <v>90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98</v>
      </c>
      <c r="C15" s="21"/>
      <c r="N15" s="192"/>
    </row>
    <row r="16" spans="1:14" ht="13.15" customHeight="1" x14ac:dyDescent="0.2">
      <c r="A16" s="193" t="s">
        <v>99</v>
      </c>
      <c r="C16" s="21"/>
      <c r="G16" s="337" t="s">
        <v>96</v>
      </c>
      <c r="H16" s="337"/>
      <c r="I16" s="337"/>
      <c r="J16" s="337"/>
      <c r="K16" s="337"/>
      <c r="L16" s="337"/>
      <c r="M16" s="337"/>
      <c r="N16" s="192"/>
    </row>
    <row r="17" spans="1:16" x14ac:dyDescent="0.2">
      <c r="A17" s="193" t="s">
        <v>100</v>
      </c>
      <c r="C17">
        <v>34.32</v>
      </c>
      <c r="G17" s="337"/>
      <c r="H17" s="337"/>
      <c r="I17" s="337"/>
      <c r="J17" s="337"/>
      <c r="K17" s="337"/>
      <c r="L17" s="337"/>
      <c r="M17" s="337"/>
      <c r="N17" s="192"/>
    </row>
    <row r="18" spans="1:16" ht="13.5" thickBot="1" x14ac:dyDescent="0.25">
      <c r="A18" s="196" t="s">
        <v>101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34" t="s">
        <v>74</v>
      </c>
      <c r="C21" s="334" t="s">
        <v>77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35"/>
      <c r="C22" s="335"/>
      <c r="D22" s="224"/>
      <c r="E22" s="224"/>
      <c r="F22" s="224"/>
      <c r="G22" s="222" t="s">
        <v>110</v>
      </c>
      <c r="H22" s="223" t="s">
        <v>107</v>
      </c>
    </row>
    <row r="23" spans="1:16" hidden="1" x14ac:dyDescent="0.2">
      <c r="A23" s="237" t="s">
        <v>105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106</v>
      </c>
      <c r="B24">
        <v>121.4</v>
      </c>
      <c r="C24" s="171" t="s">
        <v>76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34" t="s">
        <v>74</v>
      </c>
      <c r="C36" s="334" t="s">
        <v>77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35"/>
      <c r="C37" s="335"/>
      <c r="D37" s="224"/>
      <c r="E37" s="224"/>
      <c r="F37" s="224"/>
      <c r="G37" s="222" t="s">
        <v>110</v>
      </c>
      <c r="H37" s="223" t="s">
        <v>107</v>
      </c>
    </row>
    <row r="38" spans="1:8" hidden="1" x14ac:dyDescent="0.2">
      <c r="A38" s="237" t="s">
        <v>105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106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115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116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34" t="s">
        <v>74</v>
      </c>
      <c r="C51" s="334" t="s">
        <v>77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35"/>
      <c r="C52" s="335"/>
      <c r="D52" s="224"/>
      <c r="E52" s="224"/>
      <c r="F52" s="224"/>
      <c r="G52" s="222" t="s">
        <v>110</v>
      </c>
      <c r="H52" s="223" t="s">
        <v>107</v>
      </c>
    </row>
    <row r="53" spans="1:13" hidden="1" x14ac:dyDescent="0.2">
      <c r="A53" s="237" t="s">
        <v>105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106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117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34" t="s">
        <v>74</v>
      </c>
      <c r="C66" s="334" t="s">
        <v>77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35"/>
      <c r="C67" s="335"/>
      <c r="D67" s="224"/>
      <c r="E67" s="224"/>
      <c r="F67" s="224"/>
      <c r="G67" s="222" t="s">
        <v>110</v>
      </c>
      <c r="H67" s="223" t="s">
        <v>107</v>
      </c>
    </row>
    <row r="68" spans="1:14" hidden="1" x14ac:dyDescent="0.2">
      <c r="A68" s="237" t="s">
        <v>105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106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118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34" t="s">
        <v>74</v>
      </c>
      <c r="C81" s="334" t="s">
        <v>77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35"/>
      <c r="C82" s="335"/>
      <c r="D82" s="224"/>
      <c r="E82" s="224"/>
      <c r="F82" s="224"/>
      <c r="G82" s="222" t="s">
        <v>110</v>
      </c>
      <c r="H82" s="223" t="s">
        <v>107</v>
      </c>
    </row>
    <row r="83" spans="1:8" x14ac:dyDescent="0.2">
      <c r="A83" s="237" t="s">
        <v>105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106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34" t="s">
        <v>74</v>
      </c>
      <c r="C96" s="334" t="s">
        <v>77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35"/>
      <c r="C97" s="335"/>
      <c r="D97" s="224"/>
      <c r="E97" s="224"/>
      <c r="F97" s="224"/>
      <c r="G97" s="222" t="s">
        <v>110</v>
      </c>
      <c r="H97" s="223" t="s">
        <v>107</v>
      </c>
    </row>
    <row r="98" spans="1:8" x14ac:dyDescent="0.2">
      <c r="A98" s="237" t="s">
        <v>105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106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34" t="s">
        <v>74</v>
      </c>
      <c r="C111" s="334" t="s">
        <v>77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35"/>
      <c r="C112" s="335"/>
      <c r="D112" s="224"/>
      <c r="E112" s="224"/>
      <c r="F112" s="224"/>
      <c r="G112" s="222" t="s">
        <v>110</v>
      </c>
      <c r="H112" s="223" t="s">
        <v>107</v>
      </c>
    </row>
    <row r="113" spans="1:8" x14ac:dyDescent="0.2">
      <c r="A113" s="237" t="s">
        <v>105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106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34" t="s">
        <v>74</v>
      </c>
      <c r="C126" s="334" t="s">
        <v>77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35"/>
      <c r="C127" s="335"/>
      <c r="D127" s="224"/>
      <c r="E127" s="224"/>
      <c r="F127" s="224"/>
      <c r="G127" s="222" t="s">
        <v>110</v>
      </c>
      <c r="H127" s="223" t="s">
        <v>107</v>
      </c>
    </row>
    <row r="128" spans="1:8" x14ac:dyDescent="0.2">
      <c r="A128" s="237" t="s">
        <v>105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106</v>
      </c>
      <c r="B129" s="11">
        <v>173.7</v>
      </c>
      <c r="C129" s="174">
        <f>+((B129/$B$24)*Indeks!$D$163)*(H129/$H$24)</f>
        <v>310.7664040052199</v>
      </c>
      <c r="D129" s="171"/>
      <c r="E129" s="171"/>
      <c r="G129" s="238">
        <v>45611</v>
      </c>
      <c r="H129" s="239">
        <v>64.349999999999994</v>
      </c>
    </row>
    <row r="130" spans="1:8" x14ac:dyDescent="0.2">
      <c r="A130" s="237" t="s">
        <v>10</v>
      </c>
      <c r="B130" s="11">
        <v>180.5</v>
      </c>
      <c r="C130" s="174">
        <f>+((B130/$B$24)*Indeks!$D$163)*(H130/$H$24)</f>
        <v>326.79642045556284</v>
      </c>
      <c r="G130" s="238">
        <v>45642</v>
      </c>
      <c r="H130" s="239">
        <v>65.12</v>
      </c>
    </row>
    <row r="131" spans="1:8" x14ac:dyDescent="0.2">
      <c r="A131" s="240" t="s">
        <v>11</v>
      </c>
      <c r="B131" s="11">
        <v>178.9</v>
      </c>
      <c r="C131" s="174">
        <f>+((B131/$B$24)*Indeks!$D$163)*(H131/$H$24)</f>
        <v>322.65613799003739</v>
      </c>
      <c r="G131" s="238">
        <v>45672</v>
      </c>
      <c r="H131" s="239">
        <v>64.87</v>
      </c>
    </row>
    <row r="132" spans="1:8" x14ac:dyDescent="0.2">
      <c r="A132" s="237" t="s">
        <v>12</v>
      </c>
      <c r="B132" s="11">
        <v>169.7</v>
      </c>
      <c r="C132" s="174">
        <f>+((B132/$B$24)*Indeks!$D$163)*(H132/$H$24)</f>
        <v>312.9518565961605</v>
      </c>
      <c r="G132" s="238">
        <v>45702</v>
      </c>
      <c r="H132" s="248">
        <v>66.33</v>
      </c>
    </row>
    <row r="133" spans="1:8" x14ac:dyDescent="0.2">
      <c r="A133" s="240" t="s">
        <v>13</v>
      </c>
      <c r="B133" s="11">
        <v>157</v>
      </c>
      <c r="C133" s="174">
        <f>+((B133/$B$24)*Indeks!$D$163)*(H133/$H$24)</f>
        <v>294.59459420304904</v>
      </c>
      <c r="G133" s="238">
        <v>45730</v>
      </c>
      <c r="H133" s="248">
        <v>67.489999999999995</v>
      </c>
    </row>
    <row r="134" spans="1:8" x14ac:dyDescent="0.2">
      <c r="A134" s="237" t="s">
        <v>30</v>
      </c>
      <c r="B134" s="11">
        <v>146.9</v>
      </c>
      <c r="C134" s="174">
        <f>E136+((B134/$B$24)*Indeks!$D$163)*(H134/$H$24)</f>
        <v>275.60212539636592</v>
      </c>
      <c r="G134" s="238">
        <v>45762</v>
      </c>
      <c r="H134" s="239">
        <v>67.48</v>
      </c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126:B127"/>
    <mergeCell ref="C126:C127"/>
    <mergeCell ref="B111:B112"/>
    <mergeCell ref="C111:C112"/>
    <mergeCell ref="B96:B97"/>
    <mergeCell ref="C96:C97"/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2025-06-17T11:19:17Z</cp:lastPrinted>
  <dcterms:created xsi:type="dcterms:W3CDTF">2009-05-19T06:17:18Z</dcterms:created>
  <dcterms:modified xsi:type="dcterms:W3CDTF">2025-06-17T11:19:34Z</dcterms:modified>
</cp:coreProperties>
</file>