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SBLON\"/>
    </mc:Choice>
  </mc:AlternateContent>
  <xr:revisionPtr revIDLastSave="0" documentId="13_ncr:1_{B48F1C9F-9962-4FF7-9DD8-3A65F8AAB0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indeks'!$A$1:$N$141</definedName>
    <definedName name="_xlnm.Print_Area" localSheetId="0">Indeks!$A$1:$J$277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1" i="1" l="1"/>
  <c r="E251" i="1"/>
  <c r="F250" i="1"/>
  <c r="E250" i="1"/>
  <c r="D250" i="1"/>
  <c r="H250" i="1" s="1"/>
  <c r="F249" i="1"/>
  <c r="E249" i="1"/>
  <c r="C251" i="1"/>
  <c r="C250" i="1"/>
  <c r="C249" i="1"/>
  <c r="D249" i="1"/>
  <c r="F247" i="1"/>
  <c r="E248" i="1"/>
  <c r="H249" i="1" l="1"/>
  <c r="E247" i="1"/>
  <c r="C248" i="1"/>
  <c r="C247" i="1"/>
  <c r="C246" i="1"/>
  <c r="C245" i="1"/>
  <c r="C244" i="1"/>
  <c r="C243" i="1"/>
  <c r="C242" i="1"/>
  <c r="E246" i="1" l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35" i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E245" i="1" l="1"/>
  <c r="E244" i="1"/>
  <c r="E243" i="1"/>
  <c r="E242" i="1"/>
  <c r="E241" i="1"/>
  <c r="C241" i="1"/>
  <c r="C240" i="1"/>
  <c r="E240" i="1"/>
  <c r="E239" i="1"/>
  <c r="E238" i="1"/>
  <c r="E237" i="1"/>
  <c r="C239" i="1"/>
  <c r="C238" i="1"/>
  <c r="C237" i="1"/>
  <c r="E236" i="1"/>
  <c r="C236" i="1"/>
  <c r="E235" i="1" l="1"/>
  <c r="C235" i="1"/>
  <c r="C234" i="1"/>
  <c r="E234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E204" i="1" l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8" i="5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E130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H127" i="1" s="1"/>
  <c r="E127" i="2" s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E75" i="2" s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H105" i="1" s="1"/>
  <c r="E105" i="2" s="1"/>
  <c r="C106" i="1"/>
  <c r="H106" i="1" s="1"/>
  <c r="C106" i="2" s="1"/>
  <c r="C107" i="1"/>
  <c r="H107" i="1" s="1"/>
  <c r="C106" i="5" s="1"/>
  <c r="C108" i="1"/>
  <c r="H108" i="1" s="1"/>
  <c r="C107" i="5" s="1"/>
  <c r="C109" i="1"/>
  <c r="C111" i="1" s="1"/>
  <c r="H111" i="1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7" i="6"/>
  <c r="E19" i="2"/>
  <c r="C11" i="8"/>
  <c r="C13" i="8"/>
  <c r="I13" i="8"/>
  <c r="D163" i="1"/>
  <c r="C67" i="2"/>
  <c r="C18" i="5"/>
  <c r="I10" i="1"/>
  <c r="C14" i="8"/>
  <c r="D13" i="8"/>
  <c r="F189" i="1"/>
  <c r="F188" i="1"/>
  <c r="D196" i="1"/>
  <c r="D68" i="2" l="1"/>
  <c r="F187" i="1"/>
  <c r="F248" i="1"/>
  <c r="F246" i="1"/>
  <c r="C67" i="5"/>
  <c r="F67" i="2"/>
  <c r="C128" i="8"/>
  <c r="D246" i="1" s="1"/>
  <c r="C129" i="8"/>
  <c r="D247" i="1" s="1"/>
  <c r="C133" i="8"/>
  <c r="D251" i="1" s="1"/>
  <c r="H251" i="1" s="1"/>
  <c r="C139" i="8"/>
  <c r="C131" i="8"/>
  <c r="C138" i="8"/>
  <c r="C137" i="8"/>
  <c r="C134" i="8"/>
  <c r="C136" i="8"/>
  <c r="C132" i="8"/>
  <c r="C130" i="8"/>
  <c r="D248" i="1" s="1"/>
  <c r="C135" i="8"/>
  <c r="H109" i="1"/>
  <c r="C109" i="2" s="1"/>
  <c r="F192" i="1"/>
  <c r="F193" i="1"/>
  <c r="F186" i="1"/>
  <c r="C97" i="2"/>
  <c r="F184" i="1"/>
  <c r="F181" i="1"/>
  <c r="H104" i="1"/>
  <c r="C103" i="5" s="1"/>
  <c r="F191" i="1"/>
  <c r="F180" i="1"/>
  <c r="D74" i="2"/>
  <c r="F190" i="1"/>
  <c r="F26" i="2"/>
  <c r="H155" i="1"/>
  <c r="F155" i="2" s="1"/>
  <c r="C106" i="8"/>
  <c r="D230" i="1" s="1"/>
  <c r="C123" i="8"/>
  <c r="D244" i="1" s="1"/>
  <c r="C119" i="8"/>
  <c r="D240" i="1" s="1"/>
  <c r="C118" i="8"/>
  <c r="D239" i="1" s="1"/>
  <c r="C122" i="8"/>
  <c r="D243" i="1" s="1"/>
  <c r="C117" i="8"/>
  <c r="D238" i="1" s="1"/>
  <c r="C116" i="8"/>
  <c r="D237" i="1" s="1"/>
  <c r="C115" i="8"/>
  <c r="D236" i="1" s="1"/>
  <c r="C120" i="8"/>
  <c r="D241" i="1" s="1"/>
  <c r="C114" i="8"/>
  <c r="D235" i="1" s="1"/>
  <c r="C113" i="8"/>
  <c r="D234" i="1" s="1"/>
  <c r="C124" i="8"/>
  <c r="D245" i="1" s="1"/>
  <c r="C121" i="8"/>
  <c r="D242" i="1" s="1"/>
  <c r="C110" i="1"/>
  <c r="H110" i="1" s="1"/>
  <c r="F110" i="2" s="1"/>
  <c r="F183" i="1"/>
  <c r="F245" i="1"/>
  <c r="F241" i="1"/>
  <c r="F236" i="1"/>
  <c r="F244" i="1"/>
  <c r="F240" i="1"/>
  <c r="F243" i="1"/>
  <c r="F239" i="1"/>
  <c r="F242" i="1"/>
  <c r="F238" i="1"/>
  <c r="F237" i="1"/>
  <c r="F235" i="1"/>
  <c r="F234" i="1"/>
  <c r="H146" i="1"/>
  <c r="C145" i="5" s="1"/>
  <c r="H9" i="8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E114" i="2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D97" i="2"/>
  <c r="C74" i="2"/>
  <c r="C150" i="1"/>
  <c r="H150" i="1" s="1"/>
  <c r="F150" i="2" s="1"/>
  <c r="C149" i="1"/>
  <c r="H149" i="1" s="1"/>
  <c r="F149" i="2" s="1"/>
  <c r="H144" i="1"/>
  <c r="E144" i="2" s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E47" i="2"/>
  <c r="C95" i="5"/>
  <c r="D95" i="5" s="1"/>
  <c r="D127" i="2"/>
  <c r="F47" i="2"/>
  <c r="C104" i="5"/>
  <c r="C16" i="2"/>
  <c r="E96" i="2"/>
  <c r="G47" i="2"/>
  <c r="C25" i="8"/>
  <c r="D164" i="1" s="1"/>
  <c r="F97" i="2"/>
  <c r="C117" i="1"/>
  <c r="H117" i="1" s="1"/>
  <c r="I81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C140" i="5" s="1"/>
  <c r="H140" i="1"/>
  <c r="H147" i="1"/>
  <c r="C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C121" i="2"/>
  <c r="F59" i="2"/>
  <c r="D21" i="2"/>
  <c r="I22" i="1"/>
  <c r="E21" i="2"/>
  <c r="F51" i="2"/>
  <c r="F91" i="2"/>
  <c r="G127" i="2"/>
  <c r="F21" i="2"/>
  <c r="G14" i="2"/>
  <c r="D20" i="2"/>
  <c r="C20" i="5"/>
  <c r="I15" i="1"/>
  <c r="E58" i="2"/>
  <c r="I56" i="1"/>
  <c r="D106" i="2"/>
  <c r="D58" i="2"/>
  <c r="E35" i="2"/>
  <c r="G116" i="2"/>
  <c r="G16" i="2"/>
  <c r="D14" i="2"/>
  <c r="E116" i="2"/>
  <c r="C21" i="2"/>
  <c r="F16" i="2"/>
  <c r="D43" i="2"/>
  <c r="F35" i="2"/>
  <c r="C13" i="5"/>
  <c r="F14" i="2"/>
  <c r="G20" i="2"/>
  <c r="D135" i="2"/>
  <c r="E135" i="2"/>
  <c r="G33" i="2"/>
  <c r="C89" i="2"/>
  <c r="C116" i="2"/>
  <c r="D100" i="2"/>
  <c r="E100" i="2"/>
  <c r="C84" i="2"/>
  <c r="G36" i="2"/>
  <c r="E33" i="2"/>
  <c r="G68" i="2"/>
  <c r="F116" i="2"/>
  <c r="C43" i="5"/>
  <c r="E16" i="2"/>
  <c r="F68" i="2"/>
  <c r="G67" i="2"/>
  <c r="E121" i="2"/>
  <c r="D105" i="2"/>
  <c r="C34" i="2"/>
  <c r="C41" i="5"/>
  <c r="E57" i="2"/>
  <c r="E89" i="2"/>
  <c r="C113" i="2"/>
  <c r="E82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F55" i="2"/>
  <c r="G34" i="2"/>
  <c r="C48" i="2"/>
  <c r="G63" i="2"/>
  <c r="E91" i="2"/>
  <c r="I35" i="1"/>
  <c r="I20" i="1"/>
  <c r="E34" i="2"/>
  <c r="F20" i="2"/>
  <c r="F34" i="2"/>
  <c r="C114" i="5"/>
  <c r="G26" i="2"/>
  <c r="C115" i="2"/>
  <c r="I60" i="1"/>
  <c r="I11" i="1"/>
  <c r="E26" i="2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D85" i="2"/>
  <c r="C18" i="2"/>
  <c r="E39" i="2"/>
  <c r="D39" i="2"/>
  <c r="C52" i="5"/>
  <c r="I80" i="1"/>
  <c r="D59" i="2"/>
  <c r="C26" i="2"/>
  <c r="C157" i="2"/>
  <c r="D46" i="2"/>
  <c r="F39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G126" i="2"/>
  <c r="D126" i="2"/>
  <c r="C105" i="5"/>
  <c r="G51" i="2"/>
  <c r="G105" i="2"/>
  <c r="D72" i="2"/>
  <c r="E65" i="2"/>
  <c r="D65" i="2"/>
  <c r="D51" i="2"/>
  <c r="G11" i="2"/>
  <c r="C71" i="5"/>
  <c r="E63" i="2"/>
  <c r="F57" i="2"/>
  <c r="C112" i="5"/>
  <c r="C11" i="2"/>
  <c r="F106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58" i="2"/>
  <c r="C62" i="5"/>
  <c r="D62" i="5" s="1"/>
  <c r="E43" i="2"/>
  <c r="I44" i="1"/>
  <c r="F10" i="2"/>
  <c r="D76" i="2"/>
  <c r="E92" i="2"/>
  <c r="G64" i="2"/>
  <c r="G79" i="2"/>
  <c r="E72" i="2"/>
  <c r="C36" i="2"/>
  <c r="E79" i="2"/>
  <c r="G37" i="2"/>
  <c r="F58" i="2"/>
  <c r="I14" i="1"/>
  <c r="C10" i="5"/>
  <c r="D36" i="2"/>
  <c r="D10" i="2"/>
  <c r="E10" i="2"/>
  <c r="G104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D109" i="2"/>
  <c r="G82" i="2"/>
  <c r="D54" i="2"/>
  <c r="E131" i="2"/>
  <c r="C17" i="2"/>
  <c r="I90" i="1"/>
  <c r="E77" i="2"/>
  <c r="I62" i="1"/>
  <c r="C72" i="5"/>
  <c r="G73" i="2"/>
  <c r="F119" i="2"/>
  <c r="C95" i="2"/>
  <c r="C30" i="2"/>
  <c r="D95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D30" i="2"/>
  <c r="C49" i="2"/>
  <c r="G66" i="2"/>
  <c r="C60" i="5"/>
  <c r="D61" i="5" s="1"/>
  <c r="D25" i="2"/>
  <c r="E48" i="2"/>
  <c r="F131" i="2"/>
  <c r="D119" i="2"/>
  <c r="C53" i="5"/>
  <c r="G121" i="2"/>
  <c r="G42" i="2"/>
  <c r="F88" i="2"/>
  <c r="C59" i="5"/>
  <c r="C73" i="5"/>
  <c r="C120" i="5"/>
  <c r="C82" i="2"/>
  <c r="G88" i="2"/>
  <c r="I84" i="1"/>
  <c r="D38" i="2"/>
  <c r="I49" i="1"/>
  <c r="G94" i="2"/>
  <c r="I50" i="1"/>
  <c r="C25" i="2"/>
  <c r="C47" i="5"/>
  <c r="I54" i="1"/>
  <c r="D60" i="2"/>
  <c r="F61" i="2"/>
  <c r="F73" i="2"/>
  <c r="E93" i="2"/>
  <c r="C47" i="2"/>
  <c r="F54" i="2"/>
  <c r="G49" i="2"/>
  <c r="F66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I30" i="1"/>
  <c r="F109" i="2"/>
  <c r="C12" i="5"/>
  <c r="G13" i="2"/>
  <c r="C28" i="5"/>
  <c r="C77" i="2"/>
  <c r="D13" i="2"/>
  <c r="I24" i="1"/>
  <c r="D49" i="2"/>
  <c r="G95" i="2"/>
  <c r="G12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27" i="2"/>
  <c r="E111" i="2"/>
  <c r="C107" i="2"/>
  <c r="F71" i="2"/>
  <c r="C23" i="2"/>
  <c r="G81" i="2"/>
  <c r="G50" i="2"/>
  <c r="D83" i="2"/>
  <c r="E22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C27" i="2"/>
  <c r="G27" i="2"/>
  <c r="D27" i="2"/>
  <c r="C135" i="2"/>
  <c r="I27" i="1"/>
  <c r="C83" i="2"/>
  <c r="I36" i="1"/>
  <c r="G35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I9" i="8"/>
  <c r="D67" i="5"/>
  <c r="D97" i="5"/>
  <c r="D107" i="5"/>
  <c r="D104" i="2" l="1"/>
  <c r="C104" i="2"/>
  <c r="E157" i="2"/>
  <c r="F104" i="2"/>
  <c r="F157" i="2"/>
  <c r="E104" i="2"/>
  <c r="D157" i="2"/>
  <c r="G157" i="2"/>
  <c r="H157" i="2" s="1"/>
  <c r="E138" i="2"/>
  <c r="C156" i="2"/>
  <c r="C154" i="5"/>
  <c r="G112" i="2"/>
  <c r="D104" i="5"/>
  <c r="G114" i="2"/>
  <c r="I78" i="1"/>
  <c r="C114" i="2"/>
  <c r="D112" i="5"/>
  <c r="C155" i="5"/>
  <c r="D156" i="5" s="1"/>
  <c r="C149" i="5"/>
  <c r="E156" i="2"/>
  <c r="D117" i="2"/>
  <c r="E118" i="2"/>
  <c r="F144" i="2"/>
  <c r="I76" i="1"/>
  <c r="C143" i="5"/>
  <c r="F118" i="2"/>
  <c r="C146" i="2"/>
  <c r="F114" i="2"/>
  <c r="D146" i="2"/>
  <c r="F156" i="2"/>
  <c r="C118" i="2"/>
  <c r="H127" i="2"/>
  <c r="I83" i="1"/>
  <c r="C117" i="5"/>
  <c r="E155" i="2"/>
  <c r="D112" i="2"/>
  <c r="D114" i="2"/>
  <c r="D144" i="2"/>
  <c r="G153" i="2"/>
  <c r="C155" i="2"/>
  <c r="C113" i="5"/>
  <c r="D113" i="5" s="1"/>
  <c r="I79" i="1"/>
  <c r="G155" i="2"/>
  <c r="E159" i="2"/>
  <c r="C144" i="2"/>
  <c r="G144" i="2"/>
  <c r="F146" i="2"/>
  <c r="C142" i="5"/>
  <c r="D156" i="2"/>
  <c r="F112" i="2"/>
  <c r="D118" i="2"/>
  <c r="D146" i="5"/>
  <c r="E112" i="2"/>
  <c r="E145" i="2"/>
  <c r="D153" i="2"/>
  <c r="F153" i="2"/>
  <c r="C144" i="5"/>
  <c r="D145" i="5" s="1"/>
  <c r="C112" i="2"/>
  <c r="I77" i="1"/>
  <c r="D126" i="5"/>
  <c r="D155" i="2"/>
  <c r="G146" i="2"/>
  <c r="C148" i="5"/>
  <c r="E151" i="2"/>
  <c r="E146" i="2"/>
  <c r="G151" i="2"/>
  <c r="F159" i="2"/>
  <c r="F117" i="2"/>
  <c r="G117" i="2"/>
  <c r="E117" i="2"/>
  <c r="D13" i="5"/>
  <c r="E110" i="2"/>
  <c r="C117" i="2"/>
  <c r="D100" i="5"/>
  <c r="C116" i="5"/>
  <c r="D116" i="5" s="1"/>
  <c r="E153" i="2"/>
  <c r="H68" i="2"/>
  <c r="D110" i="2"/>
  <c r="C109" i="5"/>
  <c r="E110" i="5" s="1"/>
  <c r="I82" i="1"/>
  <c r="C158" i="2"/>
  <c r="G110" i="2"/>
  <c r="C157" i="5"/>
  <c r="D157" i="5" s="1"/>
  <c r="C110" i="2"/>
  <c r="G150" i="2"/>
  <c r="D149" i="2"/>
  <c r="C159" i="2"/>
  <c r="C150" i="2"/>
  <c r="G149" i="2"/>
  <c r="C150" i="5"/>
  <c r="D150" i="5" s="1"/>
  <c r="G145" i="2"/>
  <c r="C145" i="2"/>
  <c r="C149" i="2"/>
  <c r="D150" i="2"/>
  <c r="E149" i="2"/>
  <c r="D159" i="2"/>
  <c r="E150" i="2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D125" i="5" s="1"/>
  <c r="C132" i="2"/>
  <c r="E132" i="2"/>
  <c r="E125" i="2"/>
  <c r="G125" i="2"/>
  <c r="D143" i="2"/>
  <c r="E143" i="2"/>
  <c r="G143" i="2"/>
  <c r="H97" i="2"/>
  <c r="H67" i="2"/>
  <c r="F143" i="2"/>
  <c r="D14" i="5"/>
  <c r="G138" i="2"/>
  <c r="H47" i="2"/>
  <c r="D54" i="5"/>
  <c r="C153" i="2"/>
  <c r="H69" i="2"/>
  <c r="C135" i="5"/>
  <c r="D135" i="5" s="1"/>
  <c r="F136" i="2"/>
  <c r="D127" i="5"/>
  <c r="F158" i="2"/>
  <c r="F147" i="2"/>
  <c r="D96" i="5"/>
  <c r="C153" i="5"/>
  <c r="D153" i="5" s="1"/>
  <c r="E154" i="2"/>
  <c r="G123" i="2"/>
  <c r="D136" i="2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D43" i="5"/>
  <c r="H64" i="2"/>
  <c r="D103" i="2"/>
  <c r="H19" i="2"/>
  <c r="H116" i="2"/>
  <c r="D20" i="5"/>
  <c r="D89" i="5"/>
  <c r="D88" i="5"/>
  <c r="D33" i="5"/>
  <c r="E140" i="2"/>
  <c r="C140" i="2"/>
  <c r="G140" i="2"/>
  <c r="C139" i="5"/>
  <c r="D140" i="5" s="1"/>
  <c r="F140" i="2"/>
  <c r="D140" i="2"/>
  <c r="C102" i="5"/>
  <c r="D103" i="5" s="1"/>
  <c r="H14" i="2"/>
  <c r="G141" i="2"/>
  <c r="D141" i="2"/>
  <c r="E141" i="2"/>
  <c r="C141" i="2"/>
  <c r="F141" i="2"/>
  <c r="C151" i="2"/>
  <c r="D151" i="2"/>
  <c r="H121" i="2"/>
  <c r="F138" i="2"/>
  <c r="G154" i="2"/>
  <c r="C138" i="2"/>
  <c r="D34" i="5"/>
  <c r="C154" i="2"/>
  <c r="D138" i="2"/>
  <c r="H21" i="2"/>
  <c r="C123" i="2"/>
  <c r="H57" i="2"/>
  <c r="H32" i="2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H91" i="2"/>
  <c r="H89" i="2"/>
  <c r="H16" i="2"/>
  <c r="H33" i="2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53" i="2"/>
  <c r="D91" i="5"/>
  <c r="C122" i="5"/>
  <c r="H44" i="2"/>
  <c r="D74" i="5"/>
  <c r="H12" i="2"/>
  <c r="H105" i="2"/>
  <c r="D65" i="5"/>
  <c r="D55" i="5"/>
  <c r="D130" i="2"/>
  <c r="D123" i="2"/>
  <c r="H20" i="2"/>
  <c r="D90" i="5"/>
  <c r="H92" i="2"/>
  <c r="D39" i="5"/>
  <c r="I88" i="1"/>
  <c r="G122" i="2"/>
  <c r="H100" i="2"/>
  <c r="H65" i="2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48" i="2"/>
  <c r="H119" i="2"/>
  <c r="H106" i="2"/>
  <c r="E14" i="5"/>
  <c r="H72" i="2"/>
  <c r="H11" i="2"/>
  <c r="H84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93" i="5"/>
  <c r="E129" i="2"/>
  <c r="C130" i="2"/>
  <c r="G99" i="2"/>
  <c r="D38" i="5"/>
  <c r="H13" i="2"/>
  <c r="H52" i="2"/>
  <c r="H90" i="2"/>
  <c r="H23" i="2"/>
  <c r="F129" i="2"/>
  <c r="G130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D133" i="5"/>
  <c r="C121" i="5"/>
  <c r="D11" i="5"/>
  <c r="D75" i="5"/>
  <c r="D12" i="5"/>
  <c r="D106" i="5"/>
  <c r="D83" i="5"/>
  <c r="D111" i="5"/>
  <c r="H76" i="2"/>
  <c r="I87" i="1"/>
  <c r="C128" i="5"/>
  <c r="I86" i="1"/>
  <c r="E41" i="5"/>
  <c r="E65" i="5"/>
  <c r="D73" i="5"/>
  <c r="H82" i="2"/>
  <c r="H80" i="2"/>
  <c r="H27" i="2"/>
  <c r="H18" i="2"/>
  <c r="D40" i="5"/>
  <c r="H79" i="2"/>
  <c r="H24" i="2"/>
  <c r="E80" i="5"/>
  <c r="H55" i="2"/>
  <c r="H71" i="2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F62" i="5"/>
  <c r="H15" i="2"/>
  <c r="D77" i="5"/>
  <c r="H109" i="2"/>
  <c r="H102" i="2"/>
  <c r="E32" i="5"/>
  <c r="H46" i="2"/>
  <c r="E59" i="5"/>
  <c r="H66" i="2"/>
  <c r="H54" i="2"/>
  <c r="H30" i="2"/>
  <c r="H42" i="2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D210" i="1"/>
  <c r="D139" i="2"/>
  <c r="C138" i="5"/>
  <c r="E139" i="2"/>
  <c r="G139" i="2"/>
  <c r="C139" i="2"/>
  <c r="D50" i="5"/>
  <c r="H137" i="1"/>
  <c r="E137" i="2" s="1"/>
  <c r="D94" i="5"/>
  <c r="H101" i="2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32" i="5"/>
  <c r="G38" i="5"/>
  <c r="D22" i="5"/>
  <c r="D37" i="5"/>
  <c r="G74" i="5"/>
  <c r="C148" i="2"/>
  <c r="G148" i="2"/>
  <c r="E148" i="2"/>
  <c r="C147" i="5"/>
  <c r="D148" i="2"/>
  <c r="D92" i="5"/>
  <c r="D31" i="5"/>
  <c r="D30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H248" i="1" s="1"/>
  <c r="F160" i="1"/>
  <c r="G160" i="1"/>
  <c r="E160" i="1"/>
  <c r="C160" i="5"/>
  <c r="M13" i="8"/>
  <c r="H246" i="1" l="1"/>
  <c r="H247" i="1"/>
  <c r="H156" i="2"/>
  <c r="D155" i="5"/>
  <c r="H114" i="2"/>
  <c r="D149" i="5"/>
  <c r="H118" i="2"/>
  <c r="D144" i="5"/>
  <c r="D142" i="5"/>
  <c r="D117" i="5"/>
  <c r="H158" i="2"/>
  <c r="H155" i="2"/>
  <c r="D109" i="5"/>
  <c r="H144" i="2"/>
  <c r="E113" i="5"/>
  <c r="E158" i="5"/>
  <c r="D158" i="5"/>
  <c r="D154" i="5"/>
  <c r="H112" i="2"/>
  <c r="D110" i="5"/>
  <c r="E116" i="5"/>
  <c r="D114" i="5"/>
  <c r="D118" i="5"/>
  <c r="E146" i="5"/>
  <c r="E119" i="5"/>
  <c r="H146" i="2"/>
  <c r="D129" i="5"/>
  <c r="H153" i="2"/>
  <c r="H132" i="2"/>
  <c r="D143" i="5"/>
  <c r="H110" i="2"/>
  <c r="H240" i="1"/>
  <c r="D131" i="5"/>
  <c r="H117" i="2"/>
  <c r="D141" i="5"/>
  <c r="F116" i="5"/>
  <c r="H145" i="2"/>
  <c r="D148" i="5"/>
  <c r="H237" i="1"/>
  <c r="H150" i="2"/>
  <c r="H244" i="1"/>
  <c r="H159" i="2"/>
  <c r="E143" i="5"/>
  <c r="H242" i="1"/>
  <c r="H236" i="1"/>
  <c r="H234" i="1"/>
  <c r="H235" i="1"/>
  <c r="H241" i="1"/>
  <c r="H239" i="1"/>
  <c r="H245" i="1"/>
  <c r="H243" i="1"/>
  <c r="H149" i="2"/>
  <c r="H238" i="1"/>
  <c r="H232" i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H214" i="2" l="1"/>
  <c r="D213" i="5"/>
  <c r="F216" i="2"/>
  <c r="C214" i="5"/>
  <c r="D214" i="5" s="1"/>
  <c r="C215" i="2"/>
  <c r="D215" i="2"/>
  <c r="G215" i="2"/>
  <c r="E215" i="2"/>
  <c r="F215" i="2"/>
  <c r="C254" i="1" l="1"/>
  <c r="H215" i="2"/>
  <c r="C215" i="5"/>
  <c r="C216" i="2"/>
  <c r="D216" i="2"/>
  <c r="G216" i="2"/>
  <c r="E216" i="2"/>
  <c r="C253" i="1" l="1"/>
  <c r="C257" i="1"/>
  <c r="C252" i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60" i="1" l="1"/>
  <c r="C263" i="1" s="1"/>
  <c r="C259" i="1"/>
  <c r="C258" i="1"/>
  <c r="C220" i="2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C262" i="1" l="1"/>
  <c r="C266" i="1"/>
  <c r="C261" i="1"/>
  <c r="D220" i="5"/>
  <c r="D219" i="5"/>
  <c r="C221" i="2"/>
  <c r="D221" i="2"/>
  <c r="G221" i="2"/>
  <c r="H220" i="2"/>
  <c r="F221" i="2"/>
  <c r="E221" i="2"/>
  <c r="H219" i="2"/>
  <c r="D218" i="5"/>
  <c r="G218" i="5"/>
  <c r="E218" i="5"/>
  <c r="H218" i="5"/>
  <c r="C265" i="1" l="1"/>
  <c r="C264" i="1"/>
  <c r="C269" i="1"/>
  <c r="E222" i="2"/>
  <c r="C221" i="5"/>
  <c r="C222" i="2"/>
  <c r="D222" i="2"/>
  <c r="G222" i="2"/>
  <c r="H221" i="2"/>
  <c r="F222" i="2"/>
  <c r="C222" i="5"/>
  <c r="C268" i="1" l="1"/>
  <c r="C267" i="1"/>
  <c r="H222" i="2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E239" i="2"/>
  <c r="D237" i="5"/>
  <c r="E240" i="2"/>
  <c r="H239" i="2" l="1"/>
  <c r="D238" i="5"/>
  <c r="C239" i="5"/>
  <c r="C240" i="2"/>
  <c r="D240" i="2"/>
  <c r="G240" i="2"/>
  <c r="F240" i="2"/>
  <c r="C240" i="5" l="1"/>
  <c r="C241" i="2"/>
  <c r="G241" i="2"/>
  <c r="D241" i="2"/>
  <c r="D239" i="5"/>
  <c r="E239" i="5"/>
  <c r="E241" i="2"/>
  <c r="F241" i="2"/>
  <c r="H240" i="2"/>
  <c r="F244" i="2" l="1"/>
  <c r="E243" i="2"/>
  <c r="C241" i="5"/>
  <c r="C242" i="2"/>
  <c r="G242" i="2"/>
  <c r="D242" i="2"/>
  <c r="E242" i="2"/>
  <c r="H241" i="2"/>
  <c r="F242" i="2"/>
  <c r="D240" i="5"/>
  <c r="C243" i="5" l="1"/>
  <c r="C244" i="2"/>
  <c r="G244" i="2"/>
  <c r="D244" i="2"/>
  <c r="E244" i="2"/>
  <c r="F245" i="2"/>
  <c r="H242" i="2"/>
  <c r="D241" i="5"/>
  <c r="F243" i="2"/>
  <c r="C242" i="5"/>
  <c r="H242" i="5" s="1"/>
  <c r="C243" i="2"/>
  <c r="G243" i="2"/>
  <c r="D243" i="2"/>
  <c r="H244" i="2" l="1"/>
  <c r="D243" i="5"/>
  <c r="C244" i="5"/>
  <c r="D244" i="5" s="1"/>
  <c r="C245" i="2"/>
  <c r="D245" i="2"/>
  <c r="G245" i="2"/>
  <c r="E245" i="2"/>
  <c r="E246" i="2"/>
  <c r="H243" i="2"/>
  <c r="D242" i="5"/>
  <c r="G242" i="5"/>
  <c r="E242" i="5"/>
  <c r="F242" i="5"/>
  <c r="F246" i="2" l="1"/>
  <c r="D252" i="1"/>
  <c r="C245" i="5"/>
  <c r="D245" i="5" s="1"/>
  <c r="C246" i="2"/>
  <c r="D246" i="2"/>
  <c r="G246" i="2"/>
  <c r="H245" i="2"/>
  <c r="E247" i="2"/>
  <c r="G252" i="1"/>
  <c r="H246" i="2" l="1"/>
  <c r="D253" i="1"/>
  <c r="C246" i="5"/>
  <c r="C247" i="2"/>
  <c r="G247" i="2"/>
  <c r="D247" i="2"/>
  <c r="E245" i="5"/>
  <c r="F247" i="2"/>
  <c r="E248" i="2"/>
  <c r="G253" i="1"/>
  <c r="H247" i="2" l="1"/>
  <c r="F248" i="2"/>
  <c r="D246" i="5"/>
  <c r="D254" i="1"/>
  <c r="F252" i="1"/>
  <c r="C247" i="5"/>
  <c r="D247" i="5" s="1"/>
  <c r="C248" i="2"/>
  <c r="D248" i="2"/>
  <c r="G248" i="2"/>
  <c r="E252" i="1"/>
  <c r="E249" i="2"/>
  <c r="G254" i="1"/>
  <c r="C248" i="5" l="1"/>
  <c r="E248" i="5" s="1"/>
  <c r="C249" i="2"/>
  <c r="G249" i="2"/>
  <c r="D249" i="2"/>
  <c r="D255" i="1"/>
  <c r="F249" i="2"/>
  <c r="H248" i="2"/>
  <c r="F253" i="1"/>
  <c r="E253" i="1"/>
  <c r="H252" i="1"/>
  <c r="F250" i="2" s="1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H253" i="1"/>
  <c r="E251" i="2" s="1"/>
  <c r="G256" i="1"/>
  <c r="H250" i="2" l="1"/>
  <c r="F251" i="2"/>
  <c r="D257" i="1"/>
  <c r="D258" i="1" s="1"/>
  <c r="F255" i="1"/>
  <c r="D249" i="5"/>
  <c r="C250" i="5"/>
  <c r="C251" i="2"/>
  <c r="D251" i="2"/>
  <c r="G251" i="2"/>
  <c r="E255" i="1"/>
  <c r="H254" i="1"/>
  <c r="F252" i="2" s="1"/>
  <c r="G257" i="1"/>
  <c r="G258" i="1" s="1"/>
  <c r="G259" i="1" l="1"/>
  <c r="D259" i="1"/>
  <c r="H251" i="2"/>
  <c r="F256" i="1"/>
  <c r="D250" i="5"/>
  <c r="C251" i="5"/>
  <c r="E251" i="5" s="1"/>
  <c r="C252" i="2"/>
  <c r="G252" i="2"/>
  <c r="D252" i="2"/>
  <c r="E252" i="2"/>
  <c r="E256" i="1"/>
  <c r="H255" i="1"/>
  <c r="F253" i="2" s="1"/>
  <c r="G260" i="1" l="1"/>
  <c r="D260" i="1"/>
  <c r="E253" i="2"/>
  <c r="F257" i="1"/>
  <c r="F258" i="1" s="1"/>
  <c r="C252" i="5"/>
  <c r="C253" i="2"/>
  <c r="G253" i="2"/>
  <c r="D253" i="2"/>
  <c r="H252" i="2"/>
  <c r="D251" i="5"/>
  <c r="E257" i="1"/>
  <c r="E258" i="1" s="1"/>
  <c r="H256" i="1"/>
  <c r="F259" i="1" l="1"/>
  <c r="G261" i="1"/>
  <c r="E259" i="1"/>
  <c r="H258" i="1"/>
  <c r="D261" i="1"/>
  <c r="H257" i="1"/>
  <c r="F255" i="2" s="1"/>
  <c r="H253" i="2"/>
  <c r="D252" i="5"/>
  <c r="C253" i="5"/>
  <c r="D253" i="5" s="1"/>
  <c r="C254" i="2"/>
  <c r="D254" i="2"/>
  <c r="G254" i="2"/>
  <c r="F254" i="2"/>
  <c r="E254" i="2"/>
  <c r="C255" i="5" l="1"/>
  <c r="C256" i="2"/>
  <c r="D256" i="2"/>
  <c r="G256" i="2"/>
  <c r="E256" i="2"/>
  <c r="G262" i="1"/>
  <c r="F256" i="2"/>
  <c r="F260" i="1"/>
  <c r="D262" i="1"/>
  <c r="E260" i="1"/>
  <c r="H259" i="1"/>
  <c r="F257" i="2" s="1"/>
  <c r="E255" i="2"/>
  <c r="H254" i="2"/>
  <c r="C254" i="5"/>
  <c r="C255" i="2"/>
  <c r="D255" i="2"/>
  <c r="G255" i="2"/>
  <c r="H256" i="2" l="1"/>
  <c r="G263" i="1"/>
  <c r="E257" i="2"/>
  <c r="F261" i="1"/>
  <c r="D255" i="5"/>
  <c r="C256" i="5"/>
  <c r="C257" i="2"/>
  <c r="D257" i="2"/>
  <c r="G257" i="2"/>
  <c r="E261" i="1"/>
  <c r="H260" i="1"/>
  <c r="E258" i="2" s="1"/>
  <c r="D263" i="1"/>
  <c r="H255" i="2"/>
  <c r="D254" i="5"/>
  <c r="G254" i="5"/>
  <c r="E254" i="5"/>
  <c r="F254" i="5"/>
  <c r="H254" i="5"/>
  <c r="D256" i="5" l="1"/>
  <c r="F258" i="2"/>
  <c r="F262" i="1"/>
  <c r="H257" i="2"/>
  <c r="C257" i="5"/>
  <c r="D257" i="5" s="1"/>
  <c r="C258" i="2"/>
  <c r="G258" i="2"/>
  <c r="D258" i="2"/>
  <c r="G264" i="1"/>
  <c r="D264" i="1"/>
  <c r="E262" i="1"/>
  <c r="H261" i="1"/>
  <c r="F259" i="2" s="1"/>
  <c r="H258" i="2" l="1"/>
  <c r="F263" i="1"/>
  <c r="C258" i="5"/>
  <c r="C259" i="2"/>
  <c r="D259" i="2"/>
  <c r="G259" i="2"/>
  <c r="E257" i="5"/>
  <c r="E259" i="2"/>
  <c r="G265" i="1"/>
  <c r="E263" i="1"/>
  <c r="H262" i="1"/>
  <c r="F260" i="2" s="1"/>
  <c r="D265" i="1"/>
  <c r="H259" i="2" l="1"/>
  <c r="G266" i="1"/>
  <c r="D258" i="5"/>
  <c r="E260" i="2"/>
  <c r="C259" i="5"/>
  <c r="D259" i="5" s="1"/>
  <c r="C260" i="2"/>
  <c r="G260" i="2"/>
  <c r="D260" i="2"/>
  <c r="F264" i="1"/>
  <c r="D266" i="1"/>
  <c r="E264" i="1"/>
  <c r="H263" i="1"/>
  <c r="F261" i="2" s="1"/>
  <c r="H260" i="2" l="1"/>
  <c r="C260" i="5"/>
  <c r="C261" i="2"/>
  <c r="G261" i="2"/>
  <c r="D261" i="2"/>
  <c r="F265" i="1"/>
  <c r="E261" i="2"/>
  <c r="G267" i="1"/>
  <c r="E265" i="1"/>
  <c r="H264" i="1"/>
  <c r="E262" i="2" s="1"/>
  <c r="D267" i="1"/>
  <c r="F266" i="1" l="1"/>
  <c r="F262" i="2"/>
  <c r="E260" i="5"/>
  <c r="D260" i="5"/>
  <c r="G268" i="1"/>
  <c r="H261" i="2"/>
  <c r="F260" i="5"/>
  <c r="C261" i="5"/>
  <c r="C262" i="2"/>
  <c r="D262" i="2"/>
  <c r="G262" i="2"/>
  <c r="D268" i="1"/>
  <c r="E266" i="1"/>
  <c r="H265" i="1"/>
  <c r="E263" i="2" s="1"/>
  <c r="H262" i="2" l="1"/>
  <c r="G269" i="1"/>
  <c r="D261" i="5"/>
  <c r="C262" i="5"/>
  <c r="D262" i="5" s="1"/>
  <c r="C263" i="2"/>
  <c r="G263" i="2"/>
  <c r="D263" i="2"/>
  <c r="F263" i="2"/>
  <c r="F267" i="1"/>
  <c r="E267" i="1"/>
  <c r="H266" i="1"/>
  <c r="E264" i="2" s="1"/>
  <c r="D269" i="1"/>
  <c r="H263" i="2" l="1"/>
  <c r="C263" i="5"/>
  <c r="D263" i="5" s="1"/>
  <c r="C264" i="2"/>
  <c r="G264" i="2"/>
  <c r="D264" i="2"/>
  <c r="F268" i="1"/>
  <c r="F264" i="2"/>
  <c r="E268" i="1"/>
  <c r="H267" i="1"/>
  <c r="F265" i="2" s="1"/>
  <c r="E263" i="5" l="1"/>
  <c r="E265" i="2"/>
  <c r="F269" i="1"/>
  <c r="H264" i="2"/>
  <c r="C264" i="5"/>
  <c r="C265" i="2"/>
  <c r="D265" i="2"/>
  <c r="G265" i="2"/>
  <c r="E269" i="1"/>
  <c r="H268" i="1"/>
  <c r="H265" i="2" l="1"/>
  <c r="C265" i="5"/>
  <c r="D265" i="5" s="1"/>
  <c r="C266" i="2"/>
  <c r="G266" i="2"/>
  <c r="D266" i="2"/>
  <c r="H269" i="1"/>
  <c r="E266" i="2"/>
  <c r="D264" i="5"/>
  <c r="F266" i="2"/>
  <c r="C266" i="5" l="1"/>
  <c r="H266" i="5" s="1"/>
  <c r="C267" i="2"/>
  <c r="D267" i="2"/>
  <c r="G267" i="2"/>
  <c r="E267" i="2"/>
  <c r="F267" i="2"/>
  <c r="H266" i="2"/>
  <c r="H267" i="2" l="1"/>
  <c r="D266" i="5"/>
  <c r="G266" i="5"/>
  <c r="E266" i="5"/>
  <c r="F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<sst xmlns="http://schemas.openxmlformats.org/spreadsheetml/2006/main" count="1182" uniqueCount="131">
  <si>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</si>
  <si>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</si>
  <si>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</si>
  <si>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</si>
  <si>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</si>
  <si>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</si>
  <si>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</si>
  <si>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</si>
  <si>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</si>
  <si>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</si>
  <si>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</si>
  <si>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</si>
  <si>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</si>
  <si>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</si>
  <si>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</si>
  <si>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</si>
  <si>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</si>
  <si>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</si>
  <si>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</si>
  <si>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</si>
  <si>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</si>
  <si>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</si>
  <si>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</si>
  <si>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</si>
  <si>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</si>
  <si>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</si>
  <si>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</si>
  <si>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</si>
  <si>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</si>
  <si>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</si>
  <si>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</si>
  <si>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</si>
  <si>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</si>
  <si>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</si>
  <si>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</si>
  <si>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</si>
  <si>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</si>
  <si>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</si>
  <si>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</si>
  <si>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</si>
  <si>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</si>
  <si>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</si>
  <si>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</si>
  <si>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</si>
  <si>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</si>
  <si>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</si>
  <si>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</si>
  <si>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</si>
  <si>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</si>
  <si>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</si>
  <si>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</si>
  <si>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</si>
  <si>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</si>
  <si>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</si>
  <si>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</si>
  <si>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</si>
  <si>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</si>
  <si>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</si>
  <si>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</si>
  <si>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</si>
  <si>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</si>
  <si>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</si>
  <si>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</si>
  <si>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</si>
  <si>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</si>
  <si>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</si>
  <si>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</si>
  <si>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</si>
  <si>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</si>
  <si>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</si>
  <si>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</si>
  <si>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</si>
  <si>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</si>
  <si>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</si>
  <si>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</si>
  <si>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</si>
  <si>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</si>
  <si>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</si>
  <si>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</si>
  <si>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</si>
  <si>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</si>
  <si>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</si>
  <si>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</si>
  <si>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</si>
  <si>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</si>
  <si>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</si>
  <si>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</si>
  <si>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</si>
  <si>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</si>
  <si>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</si>
  <si>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</si>
  <si>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</si>
  <si>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</si>
  <si>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</si>
  <si>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</si>
  <si>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</si>
  <si>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</si>
  <si>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</si>
  <si>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</si>
  <si>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</si>
  <si>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</si>
  <si>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</si>
  <si>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</si>
  <si>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</si>
  <si>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</si>
  <si>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</si>
  <si>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</si>
  <si>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</si>
  <si>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</si>
  <si>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</si>
  <si>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</si>
  <si>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</si>
  <si>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</si>
  <si>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</si>
  <si>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</si>
  <si>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</si>
  <si>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</si>
  <si>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</si>
  <si>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</si>
  <si>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</si>
  <si>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</si>
  <si>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</si>
  <si>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</si>
  <si>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</si>
  <si>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</si>
  <si>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</si>
  <si>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</si>
  <si>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</si>
  <si>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</t>
    </r>
  </si>
  <si>
    <r>
      <t>Indeks for prisudviklingen for syntetisk biodiesel er baseret på et svensk HVO-indeks, der offentliggøres på https://partnersamverkan.se/index/index-hvo/.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</si>
  <si>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  <r>
      <rPr>
        <sz val="10"/>
        <rFont val="Arial"/>
        <family val="2"/>
      </rPr>
      <t xml:space="preserve">
PRIS1115.87 I ALT erstattes fra 1.3.2025 af PRIS1121.87 I ALT. Indeksbasisåret er skiftet fra 2015=100 til 2021=100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</si>
</sst>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9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166" fontId="7" fillId="3" borderId="0" xfId="0" applyNumberFormat="1" applyFont="1" applyFill="1" applyBorder="1"/>
    <xf numFmtId="2" fontId="7" fillId="3" borderId="0" xfId="0" applyNumberFormat="1" applyFont="1" applyFill="1" applyBorder="1"/>
    <xf numFmtId="0" fontId="1" fillId="0" borderId="3" xfId="0" applyFont="1" applyBorder="1"/>
    <xf numFmtId="166" fontId="36" fillId="3" borderId="0" xfId="1" applyNumberFormat="1" applyFont="1" applyFill="1" applyBorder="1" applyAlignment="1">
      <alignment horizontal="center"/>
    </xf>
    <xf numFmtId="166" fontId="36" fillId="3" borderId="1" xfId="1" applyNumberFormat="1" applyFont="1" applyFill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/>
    <xf numFmtId="0" fontId="4" fillId="4" borderId="0" xfId="0" applyFont="1" applyFill="1" applyBorder="1"/>
    <xf numFmtId="166" fontId="4" fillId="4" borderId="0" xfId="0" applyNumberFormat="1" applyFont="1" applyFill="1"/>
    <xf numFmtId="0" fontId="37" fillId="4" borderId="0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" xfId="0" applyFont="1" applyFill="1" applyBorder="1"/>
    <xf numFmtId="166" fontId="4" fillId="4" borderId="2" xfId="0" applyNumberFormat="1" applyFont="1" applyFill="1" applyBorder="1"/>
    <xf numFmtId="166" fontId="4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166" fontId="4" fillId="6" borderId="0" xfId="0" applyNumberFormat="1" applyFont="1" applyFill="1"/>
    <xf numFmtId="166" fontId="4" fillId="7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0" xfId="0" applyBorder="1"/>
    <xf numFmtId="167" fontId="0" fillId="3" borderId="0" xfId="0" applyNumberFormat="1" applyFill="1" applyBorder="1"/>
    <xf numFmtId="166" fontId="1" fillId="12" borderId="4" xfId="0" applyNumberFormat="1" applyFont="1" applyFill="1" applyBorder="1"/>
    <xf numFmtId="166" fontId="1" fillId="12" borderId="0" xfId="0" applyNumberFormat="1" applyFont="1" applyFill="1" applyBorder="1"/>
    <xf numFmtId="166" fontId="1" fillId="12" borderId="1" xfId="0" applyNumberFormat="1" applyFont="1" applyFill="1" applyBorder="1"/>
    <xf numFmtId="0" fontId="4" fillId="12" borderId="0" xfId="0" applyFont="1" applyFill="1" applyAlignment="1">
      <alignment vertical="top"/>
    </xf>
    <xf numFmtId="166" fontId="1" fillId="12" borderId="0" xfId="0" applyNumberFormat="1" applyFont="1" applyFill="1"/>
    <xf numFmtId="0" fontId="4" fillId="6" borderId="0" xfId="0" applyFont="1" applyFill="1" applyAlignment="1">
      <alignment horizontal="center"/>
    </xf>
    <xf numFmtId="166" fontId="1" fillId="8" borderId="1" xfId="0" applyNumberFormat="1" applyFont="1" applyFill="1" applyBorder="1"/>
    <xf numFmtId="166" fontId="1" fillId="7" borderId="0" xfId="0" applyNumberFormat="1" applyFont="1" applyFill="1" applyBorder="1"/>
    <xf numFmtId="166" fontId="1" fillId="6" borderId="0" xfId="0" applyNumberFormat="1" applyFont="1" applyFill="1" applyBorder="1"/>
    <xf numFmtId="2" fontId="1" fillId="0" borderId="0" xfId="0" applyNumberFormat="1" applyFont="1" applyBorder="1"/>
    <xf numFmtId="166" fontId="11" fillId="0" borderId="0" xfId="0" applyNumberFormat="1" applyFont="1" applyBorder="1" applyAlignment="1">
      <alignment horizontal="center"/>
    </xf>
    <xf numFmtId="166" fontId="1" fillId="0" borderId="0" xfId="0" applyNumberFormat="1" applyFont="1" applyFill="1" applyBorder="1"/>
    <xf numFmtId="0" fontId="4" fillId="12" borderId="0" xfId="0" applyFont="1" applyFill="1" applyAlignment="1">
      <alignment horizontal="left" vertical="top" wrapText="1"/>
    </xf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9" totalsRowShown="0" headerRowDxfId="14">
  <autoFilter ref="A3:J269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7"/>
  <sheetViews>
    <sheetView tabSelected="1" view="pageBreakPreview" topLeftCell="A239" zoomScaleNormal="90" zoomScaleSheetLayoutView="100" workbookViewId="0">
      <selection activeCell="E245" sqref="E245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21.570312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68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127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6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69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69">
        <f>130.4/90.3*85.6</f>
        <v>123.61284606866002</v>
      </c>
      <c r="E139" s="169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69">
        <f>130.4/90.3*90.2</f>
        <v>130.25559246954597</v>
      </c>
      <c r="E140" s="169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0">
        <f>130.4/90.3*89.7</f>
        <v>129.53355481727576</v>
      </c>
      <c r="E141" s="170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69">
        <f>130.4/90.3*92.2</f>
        <v>133.14374307862681</v>
      </c>
      <c r="E142" s="169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69">
        <f>130.4/90.3*95.9</f>
        <v>138.48682170542637</v>
      </c>
      <c r="E143" s="169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69">
        <f>130.4/90.3*91.1</f>
        <v>131.55526024363235</v>
      </c>
      <c r="E145" s="169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69">
        <f>130.4/90.3*93.8</f>
        <v>135.45426356589147</v>
      </c>
      <c r="E146" s="169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0">
        <f>130.4/90.3*97.5</f>
        <v>140.79734219269105</v>
      </c>
      <c r="E147" s="170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1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69">
        <f>130.4/90.3*95.3</f>
        <v>137.62037652270212</v>
      </c>
      <c r="E148" s="169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69">
        <f>130.4/90.3*100.4</f>
        <v>144.98516057585826</v>
      </c>
      <c r="E149" s="169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2"/>
      <c r="N150" s="172"/>
      <c r="O150" s="172"/>
      <c r="P150" s="172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69">
        <f>130.4/90.3*100.7</f>
        <v>145.41838316722038</v>
      </c>
      <c r="E151" s="169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1"/>
      <c r="N151" s="171"/>
      <c r="O151" s="171"/>
      <c r="P151" s="173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69">
        <f>130.4/90.3*99.1</f>
        <v>143.1078626799557</v>
      </c>
      <c r="E152" s="169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0">
        <f>130.4/90.3*100.9</f>
        <v>145.70719822812848</v>
      </c>
      <c r="E153" s="170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69">
        <f>130.4/90.3*97.2</f>
        <v>140.36411960132892</v>
      </c>
      <c r="E154" s="169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1"/>
      <c r="N154" s="171"/>
      <c r="O154" s="171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69">
        <f>130.4/90.3*94.3</f>
        <v>136.17630121816168</v>
      </c>
      <c r="E155" s="169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69">
        <f>130.4/90.3*94.4</f>
        <v>136.32070874861574</v>
      </c>
      <c r="E157" s="169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1"/>
      <c r="N157" s="171"/>
      <c r="O157" s="171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69">
        <f>130.4/90.3*97.4</f>
        <v>140.65293466223702</v>
      </c>
      <c r="E158" s="169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1"/>
      <c r="N158" s="171"/>
      <c r="O158" s="171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0">
        <f>130.4/90.3*99.5</f>
        <v>143.68549280177189</v>
      </c>
      <c r="E159" s="170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1"/>
      <c r="N159" s="171"/>
      <c r="O159" s="171"/>
      <c r="P159" s="116"/>
      <c r="Q159" s="55"/>
    </row>
    <row r="160" spans="1:17" ht="15.75" hidden="1" x14ac:dyDescent="0.25">
      <c r="A160" s="2" t="s">
        <v>68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75</v>
      </c>
      <c r="E161" s="2" t="s">
        <v>5</v>
      </c>
      <c r="F161" s="7" t="s">
        <v>6</v>
      </c>
      <c r="G161" s="2" t="s">
        <v>7</v>
      </c>
      <c r="H161" s="177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1">
        <f>+'Beregning HVO indeks'!C23</f>
        <v>259.86139518637037</v>
      </c>
      <c r="E162" s="169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6"/>
      <c r="K162" s="213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1">
        <f>+'Beregning HVO indeks'!I13</f>
        <v>251.89399894453337</v>
      </c>
      <c r="E163" s="169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0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1">
        <f>+'Beregning HVO indeks'!C26</f>
        <v>257.81434402786124</v>
      </c>
      <c r="E165" s="169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1">
        <f>+'Beregning HVO indeks'!C27</f>
        <v>256.22884413086132</v>
      </c>
      <c r="E166" s="169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09">
        <f>+'Beregning HVO indeks'!C28</f>
        <v>263.82999648571183</v>
      </c>
      <c r="E167" s="170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1">
        <f>+'Beregning HVO indeks'!C29</f>
        <v>266.07789375669279</v>
      </c>
      <c r="E168" s="169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1">
        <f>+'Beregning HVO indeks'!C30</f>
        <v>267.60603685274725</v>
      </c>
      <c r="E169" s="169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0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1">
        <v>283.8</v>
      </c>
      <c r="E171" s="169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1">
        <v>287.2</v>
      </c>
      <c r="E172" s="169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09">
        <v>291.83</v>
      </c>
      <c r="E173" s="170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1">
        <v>291.39999999999998</v>
      </c>
      <c r="E174" s="169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1">
        <v>279.39999999999998</v>
      </c>
      <c r="E175" s="169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0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1">
        <v>284.7</v>
      </c>
      <c r="E177" s="169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1">
        <v>283</v>
      </c>
      <c r="E178" s="169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09">
        <v>286.39999999999998</v>
      </c>
      <c r="E179" s="170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6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1">
        <v>293</v>
      </c>
      <c r="E180" s="169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1">
        <v>274.2</v>
      </c>
      <c r="E181" s="169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0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1">
        <v>278.5</v>
      </c>
      <c r="E183" s="169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1">
        <v>280.39999999999998</v>
      </c>
      <c r="E184" s="169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09">
        <v>283.89999999999998</v>
      </c>
      <c r="E185" s="170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1">
        <v>279.2</v>
      </c>
      <c r="E186" s="169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1">
        <v>280.10000000000002</v>
      </c>
      <c r="E187" s="169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0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1">
        <v>284.5</v>
      </c>
      <c r="E189" s="169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1">
        <v>271.39999999999998</v>
      </c>
      <c r="E190" s="169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09">
        <v>248.4</v>
      </c>
      <c r="E191" s="170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1">
        <v>240.3</v>
      </c>
      <c r="E192" s="169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1">
        <v>251.28</v>
      </c>
      <c r="E193" s="169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0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1">
        <v>261.33</v>
      </c>
      <c r="E195" s="169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1">
        <f t="shared" ref="D196:D259" si="33">D195</f>
        <v>261.33</v>
      </c>
      <c r="E196" s="169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09">
        <v>257.3</v>
      </c>
      <c r="E197" s="170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1">
        <v>259.39999999999998</v>
      </c>
      <c r="E198" s="169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1">
        <v>269.8</v>
      </c>
      <c r="E199" s="169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0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1">
        <f>'Beregning HVO indeks'!C71</f>
        <v>296.22835944490652</v>
      </c>
      <c r="E201" s="169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1">
        <v>308.39999999999998</v>
      </c>
      <c r="E202" s="169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09">
        <v>301.8</v>
      </c>
      <c r="E203" s="170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1">
        <v>307.2</v>
      </c>
      <c r="E204" s="169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1">
        <v>309.3</v>
      </c>
      <c r="E205" s="169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3">
        <f>'Beregning HVO indeks'!C76</f>
        <v>319.16740987747085</v>
      </c>
      <c r="E206" s="170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1">
        <f>'Beregning HVO indeks'!C77</f>
        <v>311.79312688554529</v>
      </c>
      <c r="E207" s="169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1">
        <f>'Beregning HVO indeks'!C78</f>
        <v>316.58785517630218</v>
      </c>
      <c r="E208" s="169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09">
        <f>'Beregning HVO indeks'!C79</f>
        <v>339.38944946544734</v>
      </c>
      <c r="E209" s="170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hidden="1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1">
        <f>'Beregning HVO indeks'!C83</f>
        <v>346.3233389881658</v>
      </c>
      <c r="E210" s="169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hidden="1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1">
        <f>'Beregning HVO indeks'!C84</f>
        <v>345.07052521821981</v>
      </c>
      <c r="E211" s="169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hidden="1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0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hidden="1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1">
        <f>+'Beregning HVO indeks'!C86</f>
        <v>433.99992356538559</v>
      </c>
      <c r="E213" s="169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hidden="1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1">
        <f>+'Beregning HVO indeks'!C87</f>
        <v>486.25194142398379</v>
      </c>
      <c r="E214" s="169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hidden="1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09">
        <f>+'Beregning HVO indeks'!C88</f>
        <v>483.67683514169613</v>
      </c>
      <c r="E215" s="170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hidden="1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1">
        <f>+'Beregning HVO indeks'!C89</f>
        <v>500.90848074223686</v>
      </c>
      <c r="E216" s="169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hidden="1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1">
        <f>+'Beregning HVO indeks'!C90</f>
        <v>521.50744042251404</v>
      </c>
      <c r="E217" s="169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hidden="1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0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hidden="1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1">
        <f>+'Beregning HVO indeks'!C92</f>
        <v>478.51780914721309</v>
      </c>
      <c r="E219" s="169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hidden="1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1">
        <f>+'Beregning HVO indeks'!C93</f>
        <v>503.61072839666366</v>
      </c>
      <c r="E220" s="169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hidden="1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09">
        <f>+'Beregning HVO indeks'!C94</f>
        <v>529.39824045174578</v>
      </c>
      <c r="E221" s="170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1">
        <f>+'Beregning HVO indeks'!C98</f>
        <v>497.98242201286564</v>
      </c>
      <c r="E222" s="169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f t="shared" ref="A223:A233" si="46">A222</f>
        <v>2023</v>
      </c>
      <c r="B223" s="142" t="s">
        <v>9</v>
      </c>
      <c r="C223" s="114">
        <f>148.2*1.0101</f>
        <v>149.69681999999997</v>
      </c>
      <c r="D223" s="171">
        <f>+'Beregning HVO indeks'!C99</f>
        <v>457.74608399864962</v>
      </c>
      <c r="E223" s="169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f t="shared" si="46"/>
        <v>2023</v>
      </c>
      <c r="B224" s="13" t="s">
        <v>10</v>
      </c>
      <c r="C224" s="117">
        <f>148.2*1.0101</f>
        <v>149.69681999999997</v>
      </c>
      <c r="D224" s="210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f t="shared" si="46"/>
        <v>2023</v>
      </c>
      <c r="B225" s="18" t="s">
        <v>11</v>
      </c>
      <c r="C225" s="114">
        <f>149.4*1.0101</f>
        <v>150.90894</v>
      </c>
      <c r="D225" s="171">
        <f>+'Beregning HVO indeks'!C101</f>
        <v>440.51021240017207</v>
      </c>
      <c r="E225" s="169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f t="shared" si="46"/>
        <v>2023</v>
      </c>
      <c r="B226" t="s">
        <v>12</v>
      </c>
      <c r="C226" s="114">
        <f t="shared" ref="C226:C227" si="47">149.4*1.0101</f>
        <v>150.90894</v>
      </c>
      <c r="D226" s="201">
        <f>+'Beregning HVO indeks'!C102</f>
        <v>449.12168409072461</v>
      </c>
      <c r="E226" s="169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8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f t="shared" si="46"/>
        <v>2023</v>
      </c>
      <c r="B227" s="31" t="s">
        <v>13</v>
      </c>
      <c r="C227" s="119">
        <f t="shared" si="47"/>
        <v>150.90894</v>
      </c>
      <c r="D227" s="209">
        <f>+'Beregning HVO indeks'!C103</f>
        <v>437.18048745997908</v>
      </c>
      <c r="E227" s="170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9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f t="shared" si="46"/>
        <v>2023</v>
      </c>
      <c r="B228" s="22" t="s">
        <v>30</v>
      </c>
      <c r="C228" s="114">
        <f>150.8*1.0101</f>
        <v>152.32308</v>
      </c>
      <c r="D228" s="201">
        <f>+'Beregning HVO indeks'!C104</f>
        <v>410.98711278725267</v>
      </c>
      <c r="E228" s="169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50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f t="shared" si="46"/>
        <v>2023</v>
      </c>
      <c r="B229" t="s">
        <v>14</v>
      </c>
      <c r="C229" s="114">
        <f t="shared" ref="C229:C230" si="51">150.8*1.0101</f>
        <v>152.32308</v>
      </c>
      <c r="D229" s="171">
        <f>+'Beregning HVO indeks'!C105</f>
        <v>430.04033031427787</v>
      </c>
      <c r="E229" s="169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2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f t="shared" si="46"/>
        <v>2023</v>
      </c>
      <c r="B230" s="13" t="s">
        <v>15</v>
      </c>
      <c r="C230" s="117">
        <f t="shared" si="51"/>
        <v>152.32308</v>
      </c>
      <c r="D230" s="210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3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f t="shared" si="46"/>
        <v>2023</v>
      </c>
      <c r="B231" s="18" t="s">
        <v>16</v>
      </c>
      <c r="C231" s="114">
        <f>151.6*1.0101</f>
        <v>153.13115999999999</v>
      </c>
      <c r="D231" s="171">
        <f>+'Beregning HVO indeks'!C107</f>
        <v>452.81437220897953</v>
      </c>
      <c r="E231" s="169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4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f t="shared" si="46"/>
        <v>2023</v>
      </c>
      <c r="B232" t="s">
        <v>17</v>
      </c>
      <c r="C232" s="114">
        <f t="shared" ref="C232:C233" si="55">151.6*1.0101</f>
        <v>153.13115999999999</v>
      </c>
      <c r="D232" s="201">
        <f>+'Beregning HVO indeks'!C108</f>
        <v>463.72264597558456</v>
      </c>
      <c r="E232" s="169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6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f t="shared" si="46"/>
        <v>2023</v>
      </c>
      <c r="B233" s="31" t="s">
        <v>18</v>
      </c>
      <c r="C233" s="119">
        <f t="shared" si="55"/>
        <v>153.13115999999999</v>
      </c>
      <c r="D233" s="209">
        <f>+'Beregning HVO indeks'!C109</f>
        <v>461.36781983575446</v>
      </c>
      <c r="E233" s="170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7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1">
        <f>+'Beregning HVO indeks'!C113</f>
        <v>456.72931445557043</v>
      </c>
      <c r="E234" s="169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8">(100+((C234-$C$163)/$C$163*100*$C$160)+((D234-$D$163)/$D$163*100*$D$160)+((E234-$E$163)/$E$163*100*$E$160)+((F234-$F$163)/$F$163*100*$F$160)+((G234-$G$163)/$G$163*100*$G$160))*$H$163/100</f>
        <v>166.72014015198874</v>
      </c>
      <c r="L234" s="296"/>
    </row>
    <row r="235" spans="1:12" ht="15" x14ac:dyDescent="0.2">
      <c r="A235" s="10">
        <f>A234</f>
        <v>2024</v>
      </c>
      <c r="B235" s="142" t="s">
        <v>9</v>
      </c>
      <c r="C235" s="114">
        <f t="shared" ref="C235:C236" si="59">153.5*1.0101</f>
        <v>155.05035000000001</v>
      </c>
      <c r="D235" s="114">
        <f>+'Beregning HVO indeks'!C114</f>
        <v>433.02505256764061</v>
      </c>
      <c r="E235" s="169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60">(100+((C235-$C$163)/$C$163*100*$C$160)+((D235-$D$163)/$D$163*100*$D$160)+((E235-$E$163)/$E$163*100*$E$160)+((F235-$F$163)/$F$163*100*$F$160)+((G235-$G$163)/$G$163*100*$G$160))*$H$163/100</f>
        <v>163.40976621340656</v>
      </c>
      <c r="L235" s="296"/>
    </row>
    <row r="236" spans="1:12" ht="15" x14ac:dyDescent="0.2">
      <c r="A236" s="12">
        <f t="shared" ref="A236:A269" si="61">A235</f>
        <v>2024</v>
      </c>
      <c r="B236" s="13" t="s">
        <v>10</v>
      </c>
      <c r="C236" s="117">
        <f t="shared" si="59"/>
        <v>155.05035000000001</v>
      </c>
      <c r="D236" s="210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2">(100+((C236-$C$163)/$C$163*100*$C$160)+((D236-$D$163)/$D$163*100*$D$160)+((E236-$E$163)/$E$163*100*$E$160)+((F236-$F$163)/$F$163*100*$F$160)+((G236-$G$163)/$G$163*100*$G$160))*$H$163/100</f>
        <v>153.23542169368963</v>
      </c>
      <c r="L236" s="296"/>
    </row>
    <row r="237" spans="1:12" ht="15" x14ac:dyDescent="0.2">
      <c r="A237" s="17">
        <f t="shared" si="61"/>
        <v>2024</v>
      </c>
      <c r="B237" s="18" t="s">
        <v>11</v>
      </c>
      <c r="C237" s="114">
        <f>154.8*1.0101</f>
        <v>156.36348000000001</v>
      </c>
      <c r="D237" s="171">
        <f>+'Beregning HVO indeks'!C116</f>
        <v>356.00429398553587</v>
      </c>
      <c r="E237" s="169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3">(100+((C237-$C$163)/$C$163*100*$C$160)+((D237-$D$163)/$D$163*100*$D$160)+((E237-$E$163)/$E$163*100*$E$160)+((F237-$F$163)/$F$163*100*$F$160)+((G237-$G$163)/$G$163*100*$G$160))*$H$163/100</f>
        <v>155.30647150395399</v>
      </c>
      <c r="L237" s="296"/>
    </row>
    <row r="238" spans="1:12" ht="15" x14ac:dyDescent="0.2">
      <c r="A238" s="10">
        <f t="shared" si="61"/>
        <v>2024</v>
      </c>
      <c r="B238" t="s">
        <v>12</v>
      </c>
      <c r="C238" s="114">
        <f t="shared" ref="C238:C239" si="64">154.8*1.0101</f>
        <v>156.36348000000001</v>
      </c>
      <c r="D238" s="201">
        <f>+'Beregning HVO indeks'!C117</f>
        <v>347.2294541115831</v>
      </c>
      <c r="E238" s="169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5">(100+((C238-$C$163)/$C$163*100*$C$160)+((D238-$D$163)/$D$163*100*$D$160)+((E238-$E$163)/$E$163*100*$E$160)+((F238-$F$163)/$F$163*100*$F$160)+((G238-$G$163)/$G$163*100*$G$160))*$H$163/100</f>
        <v>154.23684032546961</v>
      </c>
      <c r="L238" s="296"/>
    </row>
    <row r="239" spans="1:12" ht="15" x14ac:dyDescent="0.2">
      <c r="A239" s="12">
        <f t="shared" si="61"/>
        <v>2024</v>
      </c>
      <c r="B239" s="13" t="s">
        <v>13</v>
      </c>
      <c r="C239" s="117">
        <f t="shared" si="64"/>
        <v>156.36348000000001</v>
      </c>
      <c r="D239" s="325">
        <f>+'Beregning HVO indeks'!C118</f>
        <v>344.99573617578505</v>
      </c>
      <c r="E239" s="161">
        <f>131/99.8*118.5</f>
        <v>155.54609218436875</v>
      </c>
      <c r="F239" s="155">
        <f>+F$175*(122.7/103.6)</f>
        <v>124.39055483709409</v>
      </c>
      <c r="G239" s="118">
        <v>3.43</v>
      </c>
      <c r="H239" s="136">
        <f t="shared" ref="H239" si="66">(100+((C239-$C$163)/$C$163*100*$C$160)+((D239-$D$163)/$D$163*100*$D$160)+((E239-$E$163)/$E$163*100*$E$160)+((F239-$F$163)/$F$163*100*$F$160)+((G239-$G$163)/$G$163*100*$G$160))*$H$163/100</f>
        <v>154.07731026602255</v>
      </c>
      <c r="L239" s="296"/>
    </row>
    <row r="240" spans="1:12" ht="15" x14ac:dyDescent="0.2">
      <c r="A240" s="17">
        <f t="shared" si="61"/>
        <v>2024</v>
      </c>
      <c r="B240" s="22" t="s">
        <v>30</v>
      </c>
      <c r="C240" s="114">
        <f>156.1*1.0101</f>
        <v>157.67660999999998</v>
      </c>
      <c r="D240" s="201">
        <f>+'Beregning HVO indeks'!C119</f>
        <v>326.26900479199844</v>
      </c>
      <c r="E240" s="169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7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f t="shared" si="61"/>
        <v>2024</v>
      </c>
      <c r="B241" t="s">
        <v>14</v>
      </c>
      <c r="C241" s="114">
        <f t="shared" ref="C241" si="68">156.1*1.0101</f>
        <v>157.67660999999998</v>
      </c>
      <c r="D241" s="171">
        <f>+'Beregning HVO indeks'!C120</f>
        <v>314.50516106150997</v>
      </c>
      <c r="E241" s="169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9">(100+((C241-$C$163)/$C$163*100*$C$160)+((D241-$D$163)/$D$163*100*$D$160)+((E241-$E$163)/$E$163*100*$E$160)+((F241-$F$163)/$F$163*100*$F$160)+((G241-$G$163)/$G$163*100*$G$160))*$H$163/100</f>
        <v>151.18221273446221</v>
      </c>
      <c r="L241" s="296"/>
    </row>
    <row r="242" spans="1:12" ht="15" x14ac:dyDescent="0.2">
      <c r="A242" s="12">
        <f t="shared" si="61"/>
        <v>2024</v>
      </c>
      <c r="B242" s="13" t="s">
        <v>15</v>
      </c>
      <c r="C242" s="321">
        <f>(1.0101*156.1)/121.5*121.5</f>
        <v>157.67660999999998</v>
      </c>
      <c r="D242" s="210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 t="shared" ref="H242:H247" si="70">(100+((C242-$C$163)/$C$163*100*$C$160)+((D242-$D$163)/$D$163*100*$D$160)+((E242-$E$163)/$E$163*100*$E$160)+((F242-$F$163)/$F$163*100*$F$160)+((G242-$G$163)/$G$163*100*$G$160))*$H$163/100</f>
        <v>152.73494619286586</v>
      </c>
      <c r="J242" t="s">
        <v>122</v>
      </c>
      <c r="L242" s="296"/>
    </row>
    <row r="243" spans="1:12" ht="15" x14ac:dyDescent="0.2">
      <c r="A243" s="10">
        <f t="shared" si="61"/>
        <v>2024</v>
      </c>
      <c r="B243" t="s">
        <v>16</v>
      </c>
      <c r="C243" s="323">
        <f>(1.0101*156.1)/121.5*125.5</f>
        <v>162.86760950617284</v>
      </c>
      <c r="D243" s="171">
        <f>+'Beregning HVO indeks'!C122</f>
        <v>310.87338847930522</v>
      </c>
      <c r="E243" s="169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 t="shared" si="70"/>
        <v>153.28788302490676</v>
      </c>
      <c r="L243" s="296"/>
    </row>
    <row r="244" spans="1:12" ht="15" x14ac:dyDescent="0.2">
      <c r="A244" s="10">
        <f t="shared" si="61"/>
        <v>2024</v>
      </c>
      <c r="B244" t="s">
        <v>17</v>
      </c>
      <c r="C244" s="323">
        <f>(1.0101*156.1)/121.5*125.5</f>
        <v>162.86760950617284</v>
      </c>
      <c r="D244" s="114">
        <f>+'Beregning HVO indeks'!C123</f>
        <v>297.13127726725321</v>
      </c>
      <c r="E244" s="169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 t="shared" si="70"/>
        <v>151.31684562173675</v>
      </c>
      <c r="L244" s="296"/>
    </row>
    <row r="245" spans="1:12" ht="15.75" thickBot="1" x14ac:dyDescent="0.25">
      <c r="A245" s="30">
        <f t="shared" si="61"/>
        <v>2024</v>
      </c>
      <c r="B245" s="31" t="s">
        <v>18</v>
      </c>
      <c r="C245" s="321">
        <f>(1.0101*156.1)/121.5*125.5</f>
        <v>162.86760950617284</v>
      </c>
      <c r="D245" s="209">
        <f>+'Beregning HVO indeks'!C124</f>
        <v>304.41953895906971</v>
      </c>
      <c r="E245" s="170">
        <f>131/99.8*119.6</f>
        <v>156.98997995991985</v>
      </c>
      <c r="F245" s="154">
        <f>+F$175*(122.9/103.6)</f>
        <v>124.59331042770057</v>
      </c>
      <c r="G245" s="120">
        <v>2.9</v>
      </c>
      <c r="H245" s="101">
        <f t="shared" si="70"/>
        <v>152.29238818987139</v>
      </c>
      <c r="L245" s="296"/>
    </row>
    <row r="246" spans="1:12" ht="15" x14ac:dyDescent="0.2">
      <c r="A246" s="2">
        <v>2025</v>
      </c>
      <c r="B246" s="142" t="s">
        <v>8</v>
      </c>
      <c r="C246" s="319">
        <f>(1.0101*156.1)/121.5*124.7</f>
        <v>161.82940960493826</v>
      </c>
      <c r="D246" s="201">
        <f>+'Beregning HVO indeks'!C128</f>
        <v>314.97674906811926</v>
      </c>
      <c r="E246" s="169">
        <f>131/99.8*119.2</f>
        <v>156.46492985971946</v>
      </c>
      <c r="F246" s="153">
        <f>+F$175*(123.2/103.6)</f>
        <v>124.89744381361035</v>
      </c>
      <c r="G246" s="116">
        <v>2.67</v>
      </c>
      <c r="H246" s="55">
        <f t="shared" si="70"/>
        <v>152.67812202911551</v>
      </c>
      <c r="K246" s="296"/>
    </row>
    <row r="247" spans="1:12" ht="15" x14ac:dyDescent="0.2">
      <c r="A247" s="10">
        <f t="shared" si="61"/>
        <v>2025</v>
      </c>
      <c r="B247" s="142" t="s">
        <v>9</v>
      </c>
      <c r="C247" s="320">
        <f>(1.0101*156.1)/121.5*124.7</f>
        <v>161.82940960493826</v>
      </c>
      <c r="D247" s="114">
        <f>+'Beregning HVO indeks'!C129</f>
        <v>310.7664040052199</v>
      </c>
      <c r="E247" s="169">
        <f>131/99.8*118.9</f>
        <v>156.07114228456916</v>
      </c>
      <c r="F247" s="153">
        <f>+F$175*(123.5/103.6)/113.8*113.8</f>
        <v>125.20157719952012</v>
      </c>
      <c r="G247" s="116">
        <v>2.82</v>
      </c>
      <c r="H247" s="55">
        <f t="shared" si="70"/>
        <v>152.36648388964974</v>
      </c>
      <c r="L247" s="296"/>
    </row>
    <row r="248" spans="1:12" ht="15" x14ac:dyDescent="0.2">
      <c r="A248" s="12">
        <f t="shared" si="61"/>
        <v>2025</v>
      </c>
      <c r="B248" s="291" t="s">
        <v>10</v>
      </c>
      <c r="C248" s="321">
        <f>(1.0101*156.1)/121.5*124.7</f>
        <v>161.82940960493826</v>
      </c>
      <c r="D248" s="210">
        <f>+'Beregning HVO indeks'!C130</f>
        <v>326.79642045556284</v>
      </c>
      <c r="E248" s="161">
        <f>131/99.8*119.6</f>
        <v>156.98997995991985</v>
      </c>
      <c r="F248" s="155">
        <f>+F$175*(123.5/103.6)/113.8*113.1</f>
        <v>124.43144447509424</v>
      </c>
      <c r="G248" s="118">
        <v>2.73</v>
      </c>
      <c r="H248" s="136">
        <f t="shared" ref="H248" si="71">(100+((C248-$C$163)/$C$163*100*$C$160)+((D248-$D$163)/$D$163*100*$D$160)+((E248-$E$163)/$E$163*100*$E$160)+((F248-$F$163)/$F$163*100*$F$160)+((G248-$G$163)/$G$163*100*$G$160))*$H$163/100</f>
        <v>154.15387204668417</v>
      </c>
      <c r="J248" s="142" t="s">
        <v>126</v>
      </c>
      <c r="L248" s="296"/>
    </row>
    <row r="249" spans="1:12" ht="15" x14ac:dyDescent="0.2">
      <c r="A249" s="17">
        <f t="shared" si="61"/>
        <v>2025</v>
      </c>
      <c r="B249" s="292" t="s">
        <v>11</v>
      </c>
      <c r="C249" s="320">
        <f>(1.0101*156.1)/121.5*125.8</f>
        <v>163.25693446913579</v>
      </c>
      <c r="D249" s="330">
        <f>+'Beregning HVO indeks'!C131</f>
        <v>322.65613799003739</v>
      </c>
      <c r="E249" s="326">
        <f>131/99.8*120.8</f>
        <v>158.56513026052104</v>
      </c>
      <c r="F249" s="327">
        <f>+F$175*(123.5/103.6)/113.8*112.9</f>
        <v>124.21140655382972</v>
      </c>
      <c r="G249" s="328">
        <v>2.69</v>
      </c>
      <c r="H249" s="329">
        <f t="shared" ref="H249" si="72">(100+((C249-$C$163)/$C$163*100*$C$160)+((D249-$D$163)/$D$163*100*$D$160)+((E249-$E$163)/$E$163*100*$E$160)+((F249-$F$163)/$F$163*100*$F$160)+((G249-$G$163)/$G$163*100*$G$160))*$H$163/100</f>
        <v>154.4880610373981</v>
      </c>
      <c r="L249" s="296"/>
    </row>
    <row r="250" spans="1:12" ht="15" x14ac:dyDescent="0.2">
      <c r="A250" s="10">
        <f t="shared" si="61"/>
        <v>2025</v>
      </c>
      <c r="B250" s="142" t="s">
        <v>12</v>
      </c>
      <c r="C250" s="320">
        <f t="shared" ref="C250:C251" si="73">(1.0101*156.1)/121.5*125.8</f>
        <v>163.25693446913579</v>
      </c>
      <c r="D250" s="201">
        <f>+'Beregning HVO indeks'!C132</f>
        <v>312.9518565961605</v>
      </c>
      <c r="E250" s="169">
        <f>131/99.8*120.2</f>
        <v>157.77755511022045</v>
      </c>
      <c r="F250" s="153">
        <f>+F$175*(123.5/103.6)/113.8*112.8</f>
        <v>124.10138759319744</v>
      </c>
      <c r="G250" s="116">
        <v>2.75</v>
      </c>
      <c r="H250" s="55">
        <f t="shared" ref="H250" si="74">(100+((C250-$C$163)/$C$163*100*$C$160)+((D250-$D$163)/$D$163*100*$D$160)+((E250-$E$163)/$E$163*100*$E$160)+((F250-$F$163)/$F$163*100*$F$160)+((G250-$G$163)/$G$163*100*$G$160))*$H$163/100</f>
        <v>153.34351304925661</v>
      </c>
      <c r="L250" s="296"/>
    </row>
    <row r="251" spans="1:12" ht="15" x14ac:dyDescent="0.2">
      <c r="A251" s="12">
        <f t="shared" si="61"/>
        <v>2025</v>
      </c>
      <c r="B251" s="291" t="s">
        <v>13</v>
      </c>
      <c r="C251" s="321">
        <f t="shared" si="73"/>
        <v>163.25693446913579</v>
      </c>
      <c r="D251" s="325">
        <f>+'Beregning HVO indeks'!C133</f>
        <v>294.59459420304904</v>
      </c>
      <c r="E251" s="161">
        <f>131/99.8*120.3</f>
        <v>157.90881763527054</v>
      </c>
      <c r="F251" s="155">
        <f>+F$175*(123.5/103.6)/113.8*114.6</f>
        <v>126.08172888457825</v>
      </c>
      <c r="G251" s="118">
        <v>2.61</v>
      </c>
      <c r="H251" s="136">
        <f t="shared" ref="H251" si="75">(100+((C251-$C$163)/$C$163*100*$C$160)+((D251-$D$163)/$D$163*100*$D$160)+((E251-$E$163)/$E$163*100*$E$160)+((F251-$F$163)/$F$163*100*$F$160)+((G251-$G$163)/$G$163*100*$G$160))*$H$163/100</f>
        <v>151.17466959254051</v>
      </c>
      <c r="L251" s="296"/>
    </row>
    <row r="252" spans="1:12" ht="15" x14ac:dyDescent="0.2">
      <c r="A252" s="17">
        <f t="shared" si="61"/>
        <v>2025</v>
      </c>
      <c r="B252" s="292" t="s">
        <v>30</v>
      </c>
      <c r="C252" s="128">
        <f t="shared" ref="C252:C257" si="76">C249*(1+(((SUM(C$234:C$245)-SUM(C$222:C$233))/SUM(C$222:C$233))/4))</f>
        <v>165.00100113378437</v>
      </c>
      <c r="D252" s="128">
        <f t="shared" si="33"/>
        <v>294.59459420304904</v>
      </c>
      <c r="E252" s="128">
        <f t="shared" ref="E251:E257" si="77">E251*(1+(((SUM(E$234:E$245)-SUM(E$222:E$233))/SUM(E$222:E$233))/12))</f>
        <v>158.0652279113387</v>
      </c>
      <c r="F252" s="128">
        <f t="shared" ref="F251:F257" si="78">F251*(1+(((SUM(F$234:F$245)-SUM(F$222:F$233))/SUM(F$222:F$233))/12))</f>
        <v>126.08742517665763</v>
      </c>
      <c r="G252" s="71">
        <f t="shared" ref="G251:G269" si="79">+G251</f>
        <v>2.61</v>
      </c>
      <c r="H252" s="289">
        <f t="shared" ref="H251:H257" si="80">(100+((C252-$C$163)/$C$163*100*$C$160)+((D252-$D$163)/$D$163*100*$D$160)+((E252-$E$163)/$E$163*100*$E$160)+((F252-$F$163)/$F$163*100*$F$160)+((G252-$G$163)/$G$163*100*$G$160))*$H$163/100</f>
        <v>152.14960392527411</v>
      </c>
      <c r="L252" s="296"/>
    </row>
    <row r="253" spans="1:12" ht="15" x14ac:dyDescent="0.2">
      <c r="A253" s="10">
        <f t="shared" si="61"/>
        <v>2025</v>
      </c>
      <c r="B253" s="142" t="s">
        <v>14</v>
      </c>
      <c r="C253" s="128">
        <f t="shared" si="76"/>
        <v>165.00100113378437</v>
      </c>
      <c r="D253" s="128">
        <f t="shared" si="33"/>
        <v>294.59459420304904</v>
      </c>
      <c r="E253" s="128">
        <f t="shared" si="77"/>
        <v>158.22179311336237</v>
      </c>
      <c r="F253" s="128">
        <f t="shared" si="78"/>
        <v>126.09312172609185</v>
      </c>
      <c r="G253" s="71">
        <f t="shared" si="79"/>
        <v>2.61</v>
      </c>
      <c r="H253" s="289">
        <f t="shared" si="80"/>
        <v>152.16097626976378</v>
      </c>
      <c r="L253" s="296"/>
    </row>
    <row r="254" spans="1:12" ht="15" x14ac:dyDescent="0.2">
      <c r="A254" s="12">
        <f t="shared" si="61"/>
        <v>2025</v>
      </c>
      <c r="B254" s="291" t="s">
        <v>15</v>
      </c>
      <c r="C254" s="129">
        <f t="shared" si="76"/>
        <v>165.00100113378437</v>
      </c>
      <c r="D254" s="129">
        <f t="shared" si="33"/>
        <v>294.59459420304904</v>
      </c>
      <c r="E254" s="129">
        <f t="shared" si="77"/>
        <v>158.3785133947973</v>
      </c>
      <c r="F254" s="129">
        <f t="shared" si="78"/>
        <v>126.09881853289254</v>
      </c>
      <c r="G254" s="72">
        <f t="shared" si="79"/>
        <v>2.61</v>
      </c>
      <c r="H254" s="290">
        <f t="shared" si="80"/>
        <v>152.1723593795393</v>
      </c>
      <c r="L254" s="296"/>
    </row>
    <row r="255" spans="1:12" ht="15" x14ac:dyDescent="0.2">
      <c r="A255" s="10">
        <f t="shared" si="61"/>
        <v>2025</v>
      </c>
      <c r="B255" s="142" t="s">
        <v>16</v>
      </c>
      <c r="C255" s="128">
        <f t="shared" si="76"/>
        <v>166.76369958605426</v>
      </c>
      <c r="D255" s="128">
        <f t="shared" si="33"/>
        <v>294.59459420304904</v>
      </c>
      <c r="E255" s="128">
        <f t="shared" si="77"/>
        <v>158.53538890925122</v>
      </c>
      <c r="F255" s="128">
        <f t="shared" si="78"/>
        <v>126.10451559707131</v>
      </c>
      <c r="G255" s="71">
        <f t="shared" si="79"/>
        <v>2.61</v>
      </c>
      <c r="H255" s="289">
        <f t="shared" si="80"/>
        <v>153.15761981345668</v>
      </c>
      <c r="L255" s="296"/>
    </row>
    <row r="256" spans="1:12" ht="15" x14ac:dyDescent="0.2">
      <c r="A256" s="10">
        <f t="shared" si="61"/>
        <v>2025</v>
      </c>
      <c r="B256" s="142" t="s">
        <v>17</v>
      </c>
      <c r="C256" s="128">
        <f t="shared" si="76"/>
        <v>166.76369958605426</v>
      </c>
      <c r="D256" s="128">
        <f t="shared" si="33"/>
        <v>294.59459420304904</v>
      </c>
      <c r="E256" s="128">
        <f t="shared" si="77"/>
        <v>158.69241981048398</v>
      </c>
      <c r="F256" s="128">
        <f t="shared" si="78"/>
        <v>126.11021291863982</v>
      </c>
      <c r="G256" s="71">
        <f t="shared" si="79"/>
        <v>2.61</v>
      </c>
      <c r="H256" s="289">
        <f t="shared" si="80"/>
        <v>153.16902448573617</v>
      </c>
      <c r="L256" s="296"/>
    </row>
    <row r="257" spans="1:16" ht="15.75" thickBot="1" x14ac:dyDescent="0.25">
      <c r="A257" s="30">
        <f t="shared" si="61"/>
        <v>2025</v>
      </c>
      <c r="B257" s="299" t="s">
        <v>18</v>
      </c>
      <c r="C257" s="293">
        <f t="shared" si="76"/>
        <v>166.76369958605426</v>
      </c>
      <c r="D257" s="293">
        <f t="shared" si="33"/>
        <v>294.59459420304904</v>
      </c>
      <c r="E257" s="293">
        <f t="shared" si="77"/>
        <v>158.84960625240777</v>
      </c>
      <c r="F257" s="293">
        <f t="shared" si="78"/>
        <v>126.11591049760968</v>
      </c>
      <c r="G257" s="294">
        <f t="shared" si="79"/>
        <v>2.61</v>
      </c>
      <c r="H257" s="295">
        <f t="shared" si="80"/>
        <v>153.18043995525485</v>
      </c>
      <c r="L257" s="296"/>
    </row>
    <row r="258" spans="1:16" ht="15" x14ac:dyDescent="0.2">
      <c r="A258" s="2">
        <v>2026</v>
      </c>
      <c r="B258" s="142" t="s">
        <v>8</v>
      </c>
      <c r="C258" s="128">
        <f>C255*(1+(((SUM(C$246:C$257)-SUM(C$234:C$245))/SUM(C$234:C$245))/4))</f>
        <v>168.40591618223718</v>
      </c>
      <c r="D258" s="128">
        <f t="shared" si="33"/>
        <v>294.59459420304904</v>
      </c>
      <c r="E258" s="128">
        <f>E257*(1+(((SUM(E$246:E$257)-SUM(E$234:E$245))/SUM(E$234:E$245))/12))</f>
        <v>159.05078428878295</v>
      </c>
      <c r="F258" s="128">
        <f>F257*(1+(((SUM(F$246:F$257)-SUM(F$234:F$245))/SUM(F$234:F$245))/12))</f>
        <v>126.17765379902909</v>
      </c>
      <c r="G258" s="71">
        <f t="shared" si="79"/>
        <v>2.61</v>
      </c>
      <c r="H258" s="300">
        <f>(100+((C258-$C$163)/$C$163*100*$C$160)+((D258-$D$163)/$D$163*100*$D$160)+((E258-$E$163)/$E$163*100*$E$160)+((F258-$F$163)/$F$163*100*$F$160)+((G258-$G$163)/$G$163*100*$G$160))*$H$163/100</f>
        <v>154.10739921161189</v>
      </c>
      <c r="L258" s="296"/>
    </row>
    <row r="259" spans="1:16" ht="15" x14ac:dyDescent="0.2">
      <c r="A259" s="10">
        <f t="shared" si="61"/>
        <v>2026</v>
      </c>
      <c r="B259" s="142" t="s">
        <v>9</v>
      </c>
      <c r="C259" s="128">
        <f t="shared" ref="C259:C269" si="81">C256*(1+(((SUM(C$246:C$257)-SUM(C$234:C$245))/SUM(C$234:C$245))/4))</f>
        <v>168.40591618223718</v>
      </c>
      <c r="D259" s="128">
        <f t="shared" si="33"/>
        <v>294.59459420304904</v>
      </c>
      <c r="E259" s="128">
        <f t="shared" ref="E259:E269" si="82">E258*(1+(((SUM(E$246:E$257)-SUM(E$234:E$245))/SUM(E$234:E$245))/12))</f>
        <v>159.25221711082162</v>
      </c>
      <c r="F259" s="128">
        <f t="shared" ref="F259:F269" si="83">F258*(1+(((SUM(F$246:F$257)-SUM(F$234:F$245))/SUM(F$234:F$245))/12))</f>
        <v>126.23942732847647</v>
      </c>
      <c r="G259" s="71">
        <f t="shared" si="79"/>
        <v>2.61</v>
      </c>
      <c r="H259" s="300">
        <f t="shared" ref="H259:H269" si="84">(100+((C259-$C$163)/$C$163*100*$C$160)+((D259-$D$163)/$D$163*100*$D$160)+((E259-$E$163)/$E$163*100*$E$160)+((F259-$F$163)/$F$163*100*$F$160)+((G259-$G$163)/$G$163*100*$G$160))*$H$163/100</f>
        <v>154.12707693039337</v>
      </c>
      <c r="L259" s="296"/>
    </row>
    <row r="260" spans="1:16" ht="15" x14ac:dyDescent="0.2">
      <c r="A260" s="12">
        <f t="shared" si="61"/>
        <v>2026</v>
      </c>
      <c r="B260" s="291" t="s">
        <v>10</v>
      </c>
      <c r="C260" s="129">
        <f t="shared" si="81"/>
        <v>168.40591618223718</v>
      </c>
      <c r="D260" s="129">
        <f t="shared" ref="D260:D269" si="85">D259</f>
        <v>294.59459420304904</v>
      </c>
      <c r="E260" s="129">
        <f t="shared" si="82"/>
        <v>159.45390504120178</v>
      </c>
      <c r="F260" s="129">
        <f t="shared" si="83"/>
        <v>126.30123110075073</v>
      </c>
      <c r="G260" s="72">
        <f t="shared" si="79"/>
        <v>2.61</v>
      </c>
      <c r="H260" s="301">
        <f t="shared" si="84"/>
        <v>154.14677512216232</v>
      </c>
      <c r="L260" s="296"/>
    </row>
    <row r="261" spans="1:16" ht="15" x14ac:dyDescent="0.2">
      <c r="A261" s="17">
        <f t="shared" si="61"/>
        <v>2026</v>
      </c>
      <c r="B261" s="292" t="s">
        <v>11</v>
      </c>
      <c r="C261" s="128">
        <f t="shared" si="81"/>
        <v>170.06430461530951</v>
      </c>
      <c r="D261" s="130">
        <f t="shared" si="85"/>
        <v>294.59459420304904</v>
      </c>
      <c r="E261" s="128">
        <f t="shared" si="82"/>
        <v>159.65584840301014</v>
      </c>
      <c r="F261" s="128">
        <f t="shared" si="83"/>
        <v>126.36306513065803</v>
      </c>
      <c r="G261" s="127">
        <f t="shared" si="79"/>
        <v>2.61</v>
      </c>
      <c r="H261" s="300">
        <f t="shared" si="84"/>
        <v>155.08273051402432</v>
      </c>
      <c r="L261" s="296"/>
    </row>
    <row r="262" spans="1:16" ht="15" x14ac:dyDescent="0.2">
      <c r="A262" s="10">
        <f t="shared" si="61"/>
        <v>2026</v>
      </c>
      <c r="B262" s="142" t="s">
        <v>12</v>
      </c>
      <c r="C262" s="128">
        <f t="shared" si="81"/>
        <v>170.06430461530951</v>
      </c>
      <c r="D262" s="128">
        <f t="shared" si="85"/>
        <v>294.59459420304904</v>
      </c>
      <c r="E262" s="128">
        <f t="shared" si="82"/>
        <v>159.85804751974257</v>
      </c>
      <c r="F262" s="128">
        <f t="shared" si="83"/>
        <v>126.42492943301178</v>
      </c>
      <c r="G262" s="71">
        <f t="shared" si="79"/>
        <v>2.61</v>
      </c>
      <c r="H262" s="300">
        <f t="shared" si="84"/>
        <v>155.10246972304918</v>
      </c>
      <c r="L262" s="296"/>
    </row>
    <row r="263" spans="1:16" ht="15" x14ac:dyDescent="0.2">
      <c r="A263" s="12">
        <f t="shared" si="61"/>
        <v>2026</v>
      </c>
      <c r="B263" s="291" t="s">
        <v>13</v>
      </c>
      <c r="C263" s="129">
        <f t="shared" si="81"/>
        <v>170.06430461530951</v>
      </c>
      <c r="D263" s="129">
        <f t="shared" si="85"/>
        <v>294.59459420304904</v>
      </c>
      <c r="E263" s="129">
        <f t="shared" si="82"/>
        <v>160.06050271530466</v>
      </c>
      <c r="F263" s="129">
        <f t="shared" si="83"/>
        <v>126.48682402263265</v>
      </c>
      <c r="G263" s="72">
        <f t="shared" si="79"/>
        <v>2.61</v>
      </c>
      <c r="H263" s="301">
        <f t="shared" si="84"/>
        <v>155.12222947640058</v>
      </c>
      <c r="L263" s="296"/>
    </row>
    <row r="264" spans="1:16" ht="15" x14ac:dyDescent="0.2">
      <c r="A264" s="17">
        <f t="shared" si="61"/>
        <v>2026</v>
      </c>
      <c r="B264" s="292" t="s">
        <v>30</v>
      </c>
      <c r="C264" s="128">
        <f t="shared" si="81"/>
        <v>171.73902413850797</v>
      </c>
      <c r="D264" s="128">
        <f t="shared" si="85"/>
        <v>294.59459420304904</v>
      </c>
      <c r="E264" s="128">
        <f t="shared" si="82"/>
        <v>160.26321431401223</v>
      </c>
      <c r="F264" s="128">
        <f t="shared" si="83"/>
        <v>126.54874891434852</v>
      </c>
      <c r="G264" s="71">
        <f t="shared" si="79"/>
        <v>2.61</v>
      </c>
      <c r="H264" s="300">
        <f t="shared" si="84"/>
        <v>156.06726920299832</v>
      </c>
      <c r="L264" s="296"/>
    </row>
    <row r="265" spans="1:16" ht="15" x14ac:dyDescent="0.2">
      <c r="A265" s="10">
        <f t="shared" si="61"/>
        <v>2026</v>
      </c>
      <c r="B265" s="142" t="s">
        <v>14</v>
      </c>
      <c r="C265" s="128">
        <f t="shared" si="81"/>
        <v>171.73902413850797</v>
      </c>
      <c r="D265" s="128">
        <f t="shared" si="85"/>
        <v>294.59459420304904</v>
      </c>
      <c r="E265" s="128">
        <f t="shared" si="82"/>
        <v>160.46618264059177</v>
      </c>
      <c r="F265" s="128">
        <f t="shared" si="83"/>
        <v>126.61070412299459</v>
      </c>
      <c r="G265" s="71">
        <f t="shared" si="79"/>
        <v>2.61</v>
      </c>
      <c r="H265" s="300">
        <f t="shared" si="84"/>
        <v>156.08707011654522</v>
      </c>
      <c r="L265" s="296"/>
    </row>
    <row r="266" spans="1:16" ht="15" x14ac:dyDescent="0.2">
      <c r="A266" s="12">
        <f t="shared" si="61"/>
        <v>2026</v>
      </c>
      <c r="B266" s="291" t="s">
        <v>15</v>
      </c>
      <c r="C266" s="129">
        <f t="shared" si="81"/>
        <v>171.73902413850797</v>
      </c>
      <c r="D266" s="129">
        <f t="shared" si="85"/>
        <v>294.59459420304904</v>
      </c>
      <c r="E266" s="129">
        <f t="shared" si="82"/>
        <v>160.66940802018107</v>
      </c>
      <c r="F266" s="129">
        <f t="shared" si="83"/>
        <v>126.67268966341328</v>
      </c>
      <c r="G266" s="72">
        <f t="shared" si="79"/>
        <v>2.61</v>
      </c>
      <c r="H266" s="301">
        <f t="shared" si="84"/>
        <v>156.10689164601948</v>
      </c>
      <c r="L266" s="296"/>
    </row>
    <row r="267" spans="1:16" ht="15" x14ac:dyDescent="0.2">
      <c r="A267" s="10">
        <f t="shared" si="61"/>
        <v>2026</v>
      </c>
      <c r="B267" s="142" t="s">
        <v>16</v>
      </c>
      <c r="C267" s="128">
        <f t="shared" si="81"/>
        <v>173.43023557332614</v>
      </c>
      <c r="D267" s="128">
        <f t="shared" si="85"/>
        <v>294.59459420304904</v>
      </c>
      <c r="E267" s="128">
        <f t="shared" si="82"/>
        <v>160.87289077832969</v>
      </c>
      <c r="F267" s="128">
        <f t="shared" si="83"/>
        <v>126.73470555045431</v>
      </c>
      <c r="G267" s="71">
        <f t="shared" si="79"/>
        <v>2.61</v>
      </c>
      <c r="H267" s="300">
        <f t="shared" si="84"/>
        <v>157.06110477380943</v>
      </c>
      <c r="L267" s="296"/>
    </row>
    <row r="268" spans="1:16" ht="15" x14ac:dyDescent="0.2">
      <c r="A268" s="10">
        <f t="shared" si="61"/>
        <v>2026</v>
      </c>
      <c r="B268" s="142" t="s">
        <v>17</v>
      </c>
      <c r="C268" s="128">
        <f t="shared" si="81"/>
        <v>173.43023557332614</v>
      </c>
      <c r="D268" s="128">
        <f t="shared" si="85"/>
        <v>294.59459420304904</v>
      </c>
      <c r="E268" s="128">
        <f t="shared" si="82"/>
        <v>161.07663124099952</v>
      </c>
      <c r="F268" s="128">
        <f t="shared" si="83"/>
        <v>126.79675179897464</v>
      </c>
      <c r="G268" s="71">
        <f t="shared" si="79"/>
        <v>2.61</v>
      </c>
      <c r="H268" s="300">
        <f t="shared" si="84"/>
        <v>157.08096760694335</v>
      </c>
      <c r="L268" s="296"/>
    </row>
    <row r="269" spans="1:16" ht="15" x14ac:dyDescent="0.2">
      <c r="A269" s="302">
        <f t="shared" si="61"/>
        <v>2026</v>
      </c>
      <c r="B269" s="303" t="s">
        <v>18</v>
      </c>
      <c r="C269" s="297">
        <f t="shared" si="81"/>
        <v>173.43023557332614</v>
      </c>
      <c r="D269" s="297">
        <f t="shared" si="85"/>
        <v>294.59459420304904</v>
      </c>
      <c r="E269" s="297">
        <f t="shared" si="82"/>
        <v>161.28062973456522</v>
      </c>
      <c r="F269" s="297">
        <f t="shared" si="83"/>
        <v>126.85882842383852</v>
      </c>
      <c r="G269" s="298">
        <f t="shared" si="79"/>
        <v>2.61</v>
      </c>
      <c r="H269" s="300">
        <f t="shared" si="84"/>
        <v>157.10085112786817</v>
      </c>
      <c r="I269" s="304"/>
      <c r="P269" s="142"/>
    </row>
    <row r="270" spans="1:16" ht="15" x14ac:dyDescent="0.2">
      <c r="A270" s="307" t="s">
        <v>42</v>
      </c>
      <c r="B270" s="308"/>
      <c r="C270" s="308"/>
      <c r="D270" s="308"/>
      <c r="E270" s="308"/>
      <c r="F270" s="309"/>
      <c r="G270" s="308"/>
      <c r="H270" s="306"/>
      <c r="I270" s="166"/>
      <c r="J270" s="304"/>
      <c r="P270" s="142"/>
    </row>
    <row r="271" spans="1:16" ht="15" x14ac:dyDescent="0.2">
      <c r="A271" s="304" t="s">
        <v>43</v>
      </c>
      <c r="B271" s="304"/>
      <c r="C271" s="304"/>
      <c r="D271" s="304"/>
      <c r="E271" s="304"/>
      <c r="F271" s="310"/>
      <c r="G271" s="304"/>
      <c r="H271" s="311"/>
      <c r="I271" s="304"/>
      <c r="J271" s="304"/>
    </row>
    <row r="272" spans="1:16" ht="15" x14ac:dyDescent="0.2">
      <c r="A272" s="166" t="s">
        <v>45</v>
      </c>
      <c r="B272" s="166"/>
      <c r="C272" s="166"/>
      <c r="D272" s="166"/>
      <c r="E272" s="166"/>
      <c r="F272" s="305"/>
      <c r="G272" s="166"/>
      <c r="H272" s="314"/>
      <c r="I272" s="166"/>
      <c r="J272" s="166"/>
    </row>
    <row r="273" spans="1:11" ht="15" x14ac:dyDescent="0.2">
      <c r="A273" s="167" t="s">
        <v>113</v>
      </c>
      <c r="B273" s="167" t="s">
        <v>67</v>
      </c>
      <c r="C273" s="167"/>
      <c r="D273" s="167"/>
      <c r="E273" s="167"/>
      <c r="F273" s="312"/>
      <c r="G273" s="167"/>
      <c r="H273" s="315"/>
      <c r="I273" s="167"/>
      <c r="J273" s="167"/>
    </row>
    <row r="274" spans="1:11" ht="15" x14ac:dyDescent="0.2">
      <c r="A274" s="167" t="s">
        <v>112</v>
      </c>
      <c r="B274" s="167" t="s">
        <v>114</v>
      </c>
      <c r="C274" s="167"/>
      <c r="D274" s="167"/>
      <c r="E274" s="167"/>
      <c r="F274" s="312"/>
      <c r="G274" s="167"/>
      <c r="H274" s="315"/>
      <c r="I274" s="167"/>
      <c r="J274" s="167"/>
    </row>
    <row r="275" spans="1:11" x14ac:dyDescent="0.2">
      <c r="A275" s="167" t="s">
        <v>124</v>
      </c>
      <c r="B275" s="167" t="s">
        <v>125</v>
      </c>
      <c r="C275" s="167"/>
      <c r="D275" s="167"/>
      <c r="E275" s="167"/>
      <c r="F275" s="167"/>
      <c r="G275" s="167"/>
      <c r="H275" s="324"/>
      <c r="I275" s="167"/>
      <c r="J275" s="167"/>
    </row>
    <row r="276" spans="1:11" ht="15" x14ac:dyDescent="0.2">
      <c r="A276" s="163" t="s">
        <v>70</v>
      </c>
      <c r="B276" s="164" t="s">
        <v>73</v>
      </c>
      <c r="C276" s="164"/>
      <c r="D276" s="164"/>
      <c r="E276" s="164"/>
      <c r="F276" s="313"/>
      <c r="G276" s="164"/>
      <c r="H276" s="316"/>
      <c r="I276" s="164"/>
      <c r="J276" s="164"/>
      <c r="K276" s="165"/>
    </row>
    <row r="277" spans="1:11" ht="50.25" customHeight="1" x14ac:dyDescent="0.2">
      <c r="A277" s="322" t="s">
        <v>121</v>
      </c>
      <c r="B277" s="331" t="s">
        <v>123</v>
      </c>
      <c r="C277" s="331"/>
      <c r="D277" s="331"/>
      <c r="E277" s="331"/>
      <c r="F277" s="331"/>
      <c r="G277" s="331"/>
      <c r="H277" s="331"/>
      <c r="I277" s="331"/>
      <c r="J277" s="331"/>
    </row>
  </sheetData>
  <mergeCells count="1">
    <mergeCell ref="B277:J277"/>
  </mergeCells>
  <phoneticPr fontId="4" type="noConversion"/>
  <pageMargins left="0.74803149606299213" right="0.74803149606299213" top="0.78740157480314965" bottom="0.39370078740157483" header="0" footer="0"/>
  <pageSetup paperSize="9" scale="87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45" max="9" man="1"/>
    <brk id="277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zoomScaleNormal="100" workbookViewId="0">
      <selection activeCell="E245" sqref="E245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38" t="s">
        <v>127</v>
      </c>
      <c r="D3" s="2" t="s">
        <v>75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7">
        <f>(Indeks!C168/Indeks!C$163*Indeks!C$160)/(Indeks!$H168/Indeks!$H$163)</f>
        <v>0.59250252728438835</v>
      </c>
      <c r="D166" s="217">
        <f>(Indeks!D168/Indeks!D$163*Indeks!D$160)/(Indeks!$H168/Indeks!$H$163)</f>
        <v>0.25097422426058902</v>
      </c>
      <c r="E166" s="217">
        <f>(Indeks!E168/Indeks!E$163*Indeks!E$160)/(Indeks!$H168/Indeks!$H$163)</f>
        <v>7.3764656829088643E-2</v>
      </c>
      <c r="F166" s="217">
        <f>(Indeks!F168/Indeks!F$163*Indeks!F$160)/(Indeks!$H168/Indeks!$H$163)</f>
        <v>7.6778831894324509E-2</v>
      </c>
      <c r="G166" s="217">
        <f>(Indeks!G168/Indeks!G$163*Indeks!G$160)/(Indeks!$H168/Indeks!$H$163)</f>
        <v>5.9797597316093272E-3</v>
      </c>
      <c r="H166" s="217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7">
        <f>(Indeks!C180/Indeks!C$163*Indeks!C$160)/(Indeks!$H180/Indeks!$H$163)</f>
        <v>0.58177978438251232</v>
      </c>
      <c r="D178" s="217">
        <f>(Indeks!D180/Indeks!D$163*Indeks!D$160)/(Indeks!$H180/Indeks!$H$163)</f>
        <v>0.26620147961661422</v>
      </c>
      <c r="E178" s="217">
        <f>(Indeks!E180/Indeks!E$163*Indeks!E$160)/(Indeks!$H180/Indeks!$H$163)</f>
        <v>7.1536807231091723E-2</v>
      </c>
      <c r="F178" s="217">
        <f>(Indeks!F180/Indeks!F$163*Indeks!F$160)/(Indeks!$H180/Indeks!$H$163)</f>
        <v>7.5010133271448107E-2</v>
      </c>
      <c r="G178" s="217">
        <f>(Indeks!G180/Indeks!G$163*Indeks!G$160)/(Indeks!$H180/Indeks!$H$163)</f>
        <v>5.4717954983336493E-3</v>
      </c>
      <c r="H178" s="217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7">
        <f>(Indeks!C192/Indeks!C$163*Indeks!C$160)/(Indeks!$H192/Indeks!$H$163)</f>
        <v>0.61829349932420374</v>
      </c>
      <c r="D190" s="217">
        <f>(Indeks!D192/Indeks!D$163*Indeks!D$160)/(Indeks!$H192/Indeks!$H$163)</f>
        <v>0.22671288185100558</v>
      </c>
      <c r="E190" s="217">
        <f>(Indeks!E192/Indeks!E$163*Indeks!E$160)/(Indeks!$H192/Indeks!$H$163)</f>
        <v>7.428636967057993E-2</v>
      </c>
      <c r="F190" s="217">
        <f>(Indeks!F192/Indeks!F$163*Indeks!F$160)/(Indeks!$H192/Indeks!$H$163)</f>
        <v>7.841446896730532E-2</v>
      </c>
      <c r="G190" s="217">
        <f>(Indeks!G192/Indeks!G$163*Indeks!G$160)/(Indeks!$H192/Indeks!$H$163)</f>
        <v>2.2927801869054814E-3</v>
      </c>
      <c r="H190" s="217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7">
        <f>(Indeks!C195/Indeks!C$163*Indeks!C$160)/(Indeks!$H195/Indeks!$H$163)</f>
        <v>0.60648232035791416</v>
      </c>
      <c r="D193" s="217">
        <f>(Indeks!D195/Indeks!D$163*Indeks!D$160)/(Indeks!$H195/Indeks!$H$163)</f>
        <v>0.24115391549815979</v>
      </c>
      <c r="E193" s="217">
        <f>(Indeks!E195/Indeks!E$163*Indeks!E$160)/(Indeks!$H195/Indeks!$H$163)</f>
        <v>7.3011765101392415E-2</v>
      </c>
      <c r="F193" s="217">
        <f>(Indeks!F195/Indeks!F$163*Indeks!F$160)/(Indeks!$H195/Indeks!$H$163)</f>
        <v>7.720693685416552E-2</v>
      </c>
      <c r="G193" s="217">
        <f>(Indeks!G195/Indeks!G$163*Indeks!G$160)/(Indeks!$H195/Indeks!$H$163)</f>
        <v>2.1450621883683024E-3</v>
      </c>
      <c r="H193" s="217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7">
        <f>(Indeks!C204/Indeks!C$163*Indeks!C$160)/(Indeks!$H204/Indeks!$H$163)</f>
        <v>0.58317751708049059</v>
      </c>
      <c r="D202" s="217">
        <f>(Indeks!D204/Indeks!D$163*Indeks!D$160)/(Indeks!$H204/Indeks!$H$163)</f>
        <v>0.26800159335850782</v>
      </c>
      <c r="E202" s="217">
        <f>(Indeks!E204/Indeks!E$163*Indeks!E$160)/(Indeks!$H204/Indeks!$H$163)</f>
        <v>6.9890749221421619E-2</v>
      </c>
      <c r="F202" s="217">
        <f>(Indeks!F204/Indeks!F$163*Indeks!F$160)/(Indeks!$H204/Indeks!$H$163)</f>
        <v>7.4505585732246374E-2</v>
      </c>
      <c r="G202" s="217">
        <f>(Indeks!G204/Indeks!G$163*Indeks!G$160)/(Indeks!$H204/Indeks!$H$163)</f>
        <v>4.424554607333854E-3</v>
      </c>
      <c r="H202" s="217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7">
        <f>(Indeks!C207/Indeks!C$163*Indeks!C$160)/(Indeks!$H207/Indeks!$H$163)</f>
        <v>0.58339161767487591</v>
      </c>
      <c r="D205" s="217">
        <f>(Indeks!D207/Indeks!D$163*Indeks!D$160)/(Indeks!$H207/Indeks!$H$163)</f>
        <v>0.26927600726346829</v>
      </c>
      <c r="E205" s="217">
        <f>(Indeks!E207/Indeks!E$163*Indeks!E$160)/(Indeks!$H207/Indeks!$H$163)</f>
        <v>6.9584357965654139E-2</v>
      </c>
      <c r="F205" s="217">
        <f>(Indeks!F207/Indeks!F$163*Indeks!F$160)/(Indeks!$H207/Indeks!$H$163)</f>
        <v>7.4097929638944002E-2</v>
      </c>
      <c r="G205" s="217">
        <f>(Indeks!G207/Indeks!G$163*Indeks!G$160)/(Indeks!$H207/Indeks!$H$163)</f>
        <v>3.6500874570580188E-3</v>
      </c>
      <c r="H205" s="217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hidden="1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hidden="1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hidden="1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hidden="1" x14ac:dyDescent="0.2">
      <c r="A211" s="17">
        <f t="shared" si="30"/>
        <v>2022</v>
      </c>
      <c r="B211" s="18" t="s">
        <v>11</v>
      </c>
      <c r="C211" s="217">
        <f>(Indeks!C213/Indeks!C$163*Indeks!C$160)/(Indeks!$H213/Indeks!$H$163)</f>
        <v>0.52410520389388748</v>
      </c>
      <c r="D211" s="217">
        <f>(Indeks!D213/Indeks!D$163*Indeks!D$160)/(Indeks!$H213/Indeks!$H$163)</f>
        <v>0.33417690021472823</v>
      </c>
      <c r="E211" s="217">
        <f>(Indeks!E213/Indeks!E$163*Indeks!E$160)/(Indeks!$H213/Indeks!$H$163)</f>
        <v>6.4215143112321391E-2</v>
      </c>
      <c r="F211" s="217">
        <f>(Indeks!F213/Indeks!F$163*Indeks!F$160)/(Indeks!$H213/Indeks!$H$163)</f>
        <v>6.9041546755164968E-2</v>
      </c>
      <c r="G211" s="217">
        <f>(Indeks!G213/Indeks!G$163*Indeks!G$160)/(Indeks!$H213/Indeks!$H$163)</f>
        <v>8.4612060238977386E-3</v>
      </c>
      <c r="H211" s="217">
        <f t="shared" si="29"/>
        <v>0.99999999999999978</v>
      </c>
    </row>
    <row r="212" spans="1:8" hidden="1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hidden="1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hidden="1" x14ac:dyDescent="0.2">
      <c r="A214" s="10">
        <f t="shared" si="30"/>
        <v>2022</v>
      </c>
      <c r="B214" t="s">
        <v>30</v>
      </c>
      <c r="C214" s="217">
        <f>(Indeks!C216/Indeks!C$163*Indeks!C$160)/(Indeks!$H216/Indeks!$H$163)</f>
        <v>0.4948933814578314</v>
      </c>
      <c r="D214" s="217">
        <f>(Indeks!D216/Indeks!D$163*Indeks!D$160)/(Indeks!$H216/Indeks!$H$163)</f>
        <v>0.36245129536352172</v>
      </c>
      <c r="E214" s="217">
        <f>(Indeks!E216/Indeks!E$163*Indeks!E$160)/(Indeks!$H216/Indeks!$H$163)</f>
        <v>6.2279229473622418E-2</v>
      </c>
      <c r="F214" s="217">
        <f>(Indeks!F216/Indeks!F$163*Indeks!F$160)/(Indeks!$H216/Indeks!$H$163)</f>
        <v>6.630845350911424E-2</v>
      </c>
      <c r="G214" s="217">
        <f>(Indeks!G216/Indeks!G$163*Indeks!G$160)/(Indeks!$H216/Indeks!$H$163)</f>
        <v>1.4067640195910098E-2</v>
      </c>
      <c r="H214" s="217">
        <f t="shared" si="29"/>
        <v>0.99999999999999978</v>
      </c>
    </row>
    <row r="215" spans="1:8" hidden="1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hidden="1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hidden="1" x14ac:dyDescent="0.2">
      <c r="A217" s="17">
        <f t="shared" si="30"/>
        <v>2022</v>
      </c>
      <c r="B217" s="18" t="s">
        <v>16</v>
      </c>
      <c r="C217" s="217">
        <f>(Indeks!C219/Indeks!C$163*Indeks!C$160)/(Indeks!$H219/Indeks!$H$163)</f>
        <v>0.50134031066866136</v>
      </c>
      <c r="D217" s="217">
        <f>(Indeks!D219/Indeks!D$163*Indeks!D$160)/(Indeks!$H219/Indeks!$H$163)</f>
        <v>0.3476624923098261</v>
      </c>
      <c r="E217" s="217">
        <f>(Indeks!E219/Indeks!E$163*Indeks!E$160)/(Indeks!$H219/Indeks!$H$163)</f>
        <v>6.3754053918068584E-2</v>
      </c>
      <c r="F217" s="217">
        <f>(Indeks!F219/Indeks!F$163*Indeks!F$160)/(Indeks!$H219/Indeks!$H$163)</f>
        <v>6.7897978396885675E-2</v>
      </c>
      <c r="G217" s="217">
        <f>(Indeks!G219/Indeks!G$163*Indeks!G$160)/(Indeks!$H219/Indeks!$H$163)</f>
        <v>1.9345164706557921E-2</v>
      </c>
      <c r="H217" s="217">
        <f t="shared" si="29"/>
        <v>0.99999999999999967</v>
      </c>
    </row>
    <row r="218" spans="1:8" ht="13.5" hidden="1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hidden="1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7">
        <f>(Indeks!C228/Indeks!C$163*Indeks!C$160)/(Indeks!$H228/Indeks!$H$163)</f>
        <v>0.52762954655666949</v>
      </c>
      <c r="D226" s="217">
        <f>(Indeks!D228/Indeks!D$163*Indeks!D$160)/(Indeks!$H228/Indeks!$H$163)</f>
        <v>0.30675446132922973</v>
      </c>
      <c r="E226" s="217">
        <f>(Indeks!E228/Indeks!E$163*Indeks!E$160)/(Indeks!$H228/Indeks!$H$163)</f>
        <v>6.612241637935326E-2</v>
      </c>
      <c r="F226" s="217">
        <f>(Indeks!F228/Indeks!F$163*Indeks!F$160)/(Indeks!$H228/Indeks!$H$163)</f>
        <v>7.2285743808779779E-2</v>
      </c>
      <c r="G226" s="217">
        <f>(Indeks!G228/Indeks!G$163*Indeks!G$160)/(Indeks!$H228/Indeks!$H$163)</f>
        <v>2.7207831925967423E-2</v>
      </c>
      <c r="H226" s="217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7">
        <f>(Indeks!C231/Indeks!C$163*Indeks!C$160)/(Indeks!$H231/Indeks!$H$163)</f>
        <v>0.51117525298147348</v>
      </c>
      <c r="D229" s="217">
        <f>(Indeks!D231/Indeks!D$163*Indeks!D$160)/(Indeks!$H231/Indeks!$H$163)</f>
        <v>0.32570598558895042</v>
      </c>
      <c r="E229" s="217">
        <f>(Indeks!E231/Indeks!E$163*Indeks!E$160)/(Indeks!$H231/Indeks!$H$163)</f>
        <v>6.4656180130520866E-2</v>
      </c>
      <c r="F229" s="217">
        <f>(Indeks!F231/Indeks!F$163*Indeks!F$160)/(Indeks!$H231/Indeks!$H$163)</f>
        <v>7.0570317844403013E-2</v>
      </c>
      <c r="G229" s="217">
        <f>(Indeks!G231/Indeks!G$163*Indeks!G$160)/(Indeks!$H231/Indeks!$H$163)</f>
        <v>2.7892263454652341E-2</v>
      </c>
      <c r="H229" s="217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7">
        <f>(Indeks!C240/Indeks!C$163*Indeks!C$160)/(Indeks!$H240/Indeks!$H$163)</f>
        <v>0.57050753685858047</v>
      </c>
      <c r="D238" s="217">
        <f>(Indeks!D240/Indeks!D$163*Indeks!D$160)/(Indeks!$H240/Indeks!$H$163)</f>
        <v>0.25437194986330541</v>
      </c>
      <c r="E238" s="217">
        <f>(Indeks!E240/Indeks!E$163*Indeks!E$160)/(Indeks!$H240/Indeks!$H$163)</f>
        <v>7.0556949232676511E-2</v>
      </c>
      <c r="F238" s="217">
        <f>(Indeks!F240/Indeks!F$163*Indeks!F$160)/(Indeks!$H240/Indeks!$H$163)</f>
        <v>7.5814018424461185E-2</v>
      </c>
      <c r="G238" s="217">
        <f>(Indeks!G240/Indeks!G$163*Indeks!G$160)/(Indeks!$H240/Indeks!$H$163)</f>
        <v>2.8749545620976594E-2</v>
      </c>
      <c r="H238" s="217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8" x14ac:dyDescent="0.2">
      <c r="A241" s="10">
        <f t="shared" si="34"/>
        <v>2024</v>
      </c>
      <c r="B241" t="s">
        <v>16</v>
      </c>
      <c r="C241" s="217">
        <f>(Indeks!C243/Indeks!C$163*Indeks!C$160)/(Indeks!$H243/Indeks!$H$163)</f>
        <v>0.58701381298952637</v>
      </c>
      <c r="D241" s="217">
        <f>(Indeks!D243/Indeks!D$163*Indeks!D$160)/(Indeks!$H243/Indeks!$H$163)</f>
        <v>0.24143289080268335</v>
      </c>
      <c r="E241" s="217">
        <f>(Indeks!E243/Indeks!E$163*Indeks!E$160)/(Indeks!$H243/Indeks!$H$163)</f>
        <v>7.0758949121019682E-2</v>
      </c>
      <c r="F241" s="217">
        <f>(Indeks!F243/Indeks!F$163*Indeks!F$160)/(Indeks!$H243/Indeks!$H$163)</f>
        <v>7.5766419818716124E-2</v>
      </c>
      <c r="G241" s="217">
        <f>(Indeks!G243/Indeks!G$163*Indeks!G$160)/(Indeks!$H243/Indeks!$H$163)</f>
        <v>2.502792726805431E-2</v>
      </c>
      <c r="H241" s="217">
        <f t="shared" si="33"/>
        <v>0.99999999999999989</v>
      </c>
    </row>
    <row r="242" spans="1:8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0.59466019351527533</v>
      </c>
      <c r="D242" s="61">
        <f>(Indeks!D244/Indeks!D$163*Indeks!D$160)/(Indeks!$H244/Indeks!$H$163)</f>
        <v>0.23376624696281081</v>
      </c>
      <c r="E242" s="61">
        <f>(Indeks!E244/Indeks!E$163*Indeks!E$160)/(Indeks!$H244/Indeks!$H$163)</f>
        <v>7.1440310329651285E-2</v>
      </c>
      <c r="F242" s="61">
        <f>(Indeks!F244/Indeks!F$163*Indeks!F$160)/(Indeks!$H244/Indeks!$H$163)</f>
        <v>7.6691247102237486E-2</v>
      </c>
      <c r="G242" s="61">
        <f>(Indeks!G244/Indeks!G$163*Indeks!G$160)/(Indeks!$H244/Indeks!$H$163)</f>
        <v>2.3442002090025078E-2</v>
      </c>
      <c r="H242" s="61">
        <f t="shared" si="33"/>
        <v>1</v>
      </c>
    </row>
    <row r="243" spans="1:8" x14ac:dyDescent="0.2">
      <c r="A243" s="12">
        <f t="shared" si="34"/>
        <v>2024</v>
      </c>
      <c r="B243" s="13" t="s">
        <v>18</v>
      </c>
      <c r="C243" s="62">
        <f>(Indeks!C245/Indeks!C$163*Indeks!C$160)/(Indeks!$H245/Indeks!$H$163)</f>
        <v>0.59085096615175092</v>
      </c>
      <c r="D243" s="62">
        <f>(Indeks!D245/Indeks!D$163*Indeks!D$160)/(Indeks!$H245/Indeks!$H$163)</f>
        <v>0.23796607128826566</v>
      </c>
      <c r="E243" s="62">
        <f>(Indeks!E245/Indeks!E$163*Indeks!E$160)/(Indeks!$H245/Indeks!$H$163)</f>
        <v>7.1400579995842012E-2</v>
      </c>
      <c r="F243" s="62">
        <f>(Indeks!F245/Indeks!F$163*Indeks!F$160)/(Indeks!$H245/Indeks!$H$163)</f>
        <v>7.582978200743834E-2</v>
      </c>
      <c r="G243" s="62">
        <f>(Indeks!G245/Indeks!G$163*Indeks!G$160)/(Indeks!$H245/Indeks!$H$163)</f>
        <v>2.3952600556703143E-2</v>
      </c>
      <c r="H243" s="62">
        <f t="shared" si="33"/>
        <v>1.0000000000000002</v>
      </c>
    </row>
    <row r="244" spans="1:8" x14ac:dyDescent="0.2">
      <c r="A244" s="2">
        <v>2025</v>
      </c>
      <c r="B244" t="s">
        <v>8</v>
      </c>
      <c r="C244" s="61">
        <f>(Indeks!C246/Indeks!C$163*Indeks!C$160)/(Indeks!$H246/Indeks!$H$163)</f>
        <v>0.58560134487925164</v>
      </c>
      <c r="D244" s="61">
        <f>(Indeks!D246/Indeks!D$163*Indeks!D$160)/(Indeks!$H246/Indeks!$H$163)</f>
        <v>0.2455966286038565</v>
      </c>
      <c r="E244" s="61">
        <f>(Indeks!E246/Indeks!E$163*Indeks!E$160)/(Indeks!$H246/Indeks!$H$163)</f>
        <v>7.0981995292912187E-2</v>
      </c>
      <c r="F244" s="61">
        <f>(Indeks!F246/Indeks!F$163*Indeks!F$160)/(Indeks!$H246/Indeks!$H$163)</f>
        <v>7.5822835283900783E-2</v>
      </c>
      <c r="G244" s="61">
        <f>(Indeks!G246/Indeks!G$163*Indeks!G$160)/(Indeks!$H246/Indeks!$H$163)</f>
        <v>2.1997195940078932E-2</v>
      </c>
      <c r="H244" s="61">
        <f t="shared" ref="H244:H255" si="35">SUM(C244:G244)</f>
        <v>1</v>
      </c>
    </row>
    <row r="245" spans="1:8" x14ac:dyDescent="0.2">
      <c r="A245" s="10">
        <f>A244</f>
        <v>2025</v>
      </c>
      <c r="B245" t="s">
        <v>9</v>
      </c>
      <c r="C245" s="61">
        <f>(Indeks!C247/Indeks!C$163*Indeks!C$160)/(Indeks!$H247/Indeks!$H$163)</f>
        <v>0.58679908672462355</v>
      </c>
      <c r="D245" s="61">
        <f>(Indeks!D247/Indeks!D$163*Indeks!D$160)/(Indeks!$H247/Indeks!$H$163)</f>
        <v>0.2428093077451729</v>
      </c>
      <c r="E245" s="61">
        <f>(Indeks!E247/Indeks!E$163*Indeks!E$160)/(Indeks!$H247/Indeks!$H$163)</f>
        <v>7.0948164802109345E-2</v>
      </c>
      <c r="F245" s="61">
        <f>(Indeks!F247/Indeks!F$163*Indeks!F$160)/(Indeks!$H247/Indeks!$H$163)</f>
        <v>7.6162928368894656E-2</v>
      </c>
      <c r="G245" s="61">
        <f>(Indeks!G247/Indeks!G$163*Indeks!G$160)/(Indeks!$H247/Indeks!$H$163)</f>
        <v>2.3280512359199451E-2</v>
      </c>
      <c r="H245" s="61">
        <f t="shared" si="35"/>
        <v>1</v>
      </c>
    </row>
    <row r="246" spans="1:8" x14ac:dyDescent="0.2">
      <c r="A246" s="12">
        <f t="shared" ref="A246:A255" si="36">A245</f>
        <v>2025</v>
      </c>
      <c r="B246" s="13" t="s">
        <v>10</v>
      </c>
      <c r="C246" s="62">
        <f>(Indeks!C248/Indeks!C$163*Indeks!C$160)/(Indeks!$H248/Indeks!$H$163)</f>
        <v>0.57999525024458642</v>
      </c>
      <c r="D246" s="62">
        <f>(Indeks!D248/Indeks!D$163*Indeks!D$160)/(Indeks!$H248/Indeks!$H$163)</f>
        <v>0.25237339323359675</v>
      </c>
      <c r="E246" s="62">
        <f>(Indeks!E248/Indeks!E$163*Indeks!E$160)/(Indeks!$H248/Indeks!$H$163)</f>
        <v>7.0538382859534732E-2</v>
      </c>
      <c r="F246" s="62">
        <f>(Indeks!F248/Indeks!F$163*Indeks!F$160)/(Indeks!$H248/Indeks!$H$163)</f>
        <v>7.4816775091603283E-2</v>
      </c>
      <c r="G246" s="62">
        <f>(Indeks!G248/Indeks!G$163*Indeks!G$160)/(Indeks!$H248/Indeks!$H$163)</f>
        <v>2.2276198570678765E-2</v>
      </c>
      <c r="H246" s="62">
        <f t="shared" si="35"/>
        <v>1</v>
      </c>
    </row>
    <row r="247" spans="1:8" x14ac:dyDescent="0.2">
      <c r="A247" s="17">
        <f t="shared" si="36"/>
        <v>2025</v>
      </c>
      <c r="B247" s="18" t="s">
        <v>11</v>
      </c>
      <c r="C247" s="61">
        <f>(Indeks!C249/Indeks!C$163*Indeks!C$160)/(Indeks!$H249/Indeks!$H$163)</f>
        <v>0.58384577266672211</v>
      </c>
      <c r="D247" s="61">
        <f>(Indeks!D249/Indeks!D$163*Indeks!D$160)/(Indeks!$H249/Indeks!$H$163)</f>
        <v>0.2486369803652039</v>
      </c>
      <c r="E247" s="61">
        <f>(Indeks!E249/Indeks!E$163*Indeks!E$160)/(Indeks!$H249/Indeks!$H$163)</f>
        <v>7.1092006019624981E-2</v>
      </c>
      <c r="F247" s="61">
        <f>(Indeks!F249/Indeks!F$163*Indeks!F$160)/(Indeks!$H249/Indeks!$H$163)</f>
        <v>7.4522915448208271E-2</v>
      </c>
      <c r="G247" s="61">
        <f>(Indeks!G249/Indeks!G$163*Indeks!G$160)/(Indeks!$H249/Indeks!$H$163)</f>
        <v>2.1902325500240651E-2</v>
      </c>
      <c r="H247" s="61">
        <f t="shared" si="35"/>
        <v>0.99999999999999978</v>
      </c>
    </row>
    <row r="248" spans="1:8" x14ac:dyDescent="0.2">
      <c r="A248" s="10">
        <f t="shared" si="36"/>
        <v>2025</v>
      </c>
      <c r="B248" t="s">
        <v>12</v>
      </c>
      <c r="C248" s="61">
        <f>(Indeks!C250/Indeks!C$163*Indeks!C$160)/(Indeks!$H250/Indeks!$H$163)</f>
        <v>0.58820356708007926</v>
      </c>
      <c r="D248" s="61">
        <f>(Indeks!D250/Indeks!D$163*Indeks!D$160)/(Indeks!$H250/Indeks!$H$163)</f>
        <v>0.24295891403203665</v>
      </c>
      <c r="E248" s="61">
        <f>(Indeks!E250/Indeks!E$163*Indeks!E$160)/(Indeks!$H250/Indeks!$H$163)</f>
        <v>7.1266891491911052E-2</v>
      </c>
      <c r="F248" s="61">
        <f>(Indeks!F250/Indeks!F$163*Indeks!F$160)/(Indeks!$H250/Indeks!$H$163)</f>
        <v>7.5012650028229974E-2</v>
      </c>
      <c r="G248" s="61">
        <f>(Indeks!G250/Indeks!G$163*Indeks!G$160)/(Indeks!$H250/Indeks!$H$163)</f>
        <v>2.2557977367743075E-2</v>
      </c>
      <c r="H248" s="61">
        <f t="shared" si="35"/>
        <v>1</v>
      </c>
    </row>
    <row r="249" spans="1:8" x14ac:dyDescent="0.2">
      <c r="A249" s="12">
        <f t="shared" si="36"/>
        <v>2025</v>
      </c>
      <c r="B249" s="13" t="s">
        <v>13</v>
      </c>
      <c r="C249" s="62">
        <f>(Indeks!C251/Indeks!C$163*Indeks!C$160)/(Indeks!$H251/Indeks!$H$163)</f>
        <v>0.59664229204053154</v>
      </c>
      <c r="D249" s="62">
        <f>(Indeks!D251/Indeks!D$163*Indeks!D$160)/(Indeks!$H251/Indeks!$H$163)</f>
        <v>0.23198850123964831</v>
      </c>
      <c r="E249" s="62">
        <f>(Indeks!E251/Indeks!E$163*Indeks!E$160)/(Indeks!$H251/Indeks!$H$163)</f>
        <v>7.2349470394584892E-2</v>
      </c>
      <c r="F249" s="62">
        <f>(Indeks!F251/Indeks!F$163*Indeks!F$160)/(Indeks!$H251/Indeks!$H$163)</f>
        <v>7.7303010389777632E-2</v>
      </c>
      <c r="G249" s="62">
        <f>(Indeks!G251/Indeks!G$163*Indeks!G$160)/(Indeks!$H251/Indeks!$H$163)</f>
        <v>2.1716725935457405E-2</v>
      </c>
      <c r="H249" s="62">
        <f t="shared" si="35"/>
        <v>0.99999999999999978</v>
      </c>
    </row>
    <row r="250" spans="1:8" x14ac:dyDescent="0.2">
      <c r="A250" s="17">
        <f t="shared" si="36"/>
        <v>2025</v>
      </c>
      <c r="B250" s="22" t="s">
        <v>30</v>
      </c>
      <c r="C250" s="79">
        <f>(Indeks!C252/Indeks!C$163*Indeks!C$160)/(Indeks!$H252/Indeks!$H$163)</f>
        <v>0.59915222751309538</v>
      </c>
      <c r="D250" s="79">
        <f>(Indeks!D252/Indeks!D$163*Indeks!D$160)/(Indeks!$H252/Indeks!$H$163)</f>
        <v>0.23050198041525613</v>
      </c>
      <c r="E250" s="79">
        <f>(Indeks!E252/Indeks!E$163*Indeks!E$160)/(Indeks!$H252/Indeks!$H$163)</f>
        <v>7.1957077848647674E-2</v>
      </c>
      <c r="F250" s="79">
        <f>(Indeks!F252/Indeks!F$163*Indeks!F$160)/(Indeks!$H252/Indeks!$H$163)</f>
        <v>7.6811143311038832E-2</v>
      </c>
      <c r="G250" s="79">
        <f>(Indeks!G252/Indeks!G$163*Indeks!G$160)/(Indeks!$H252/Indeks!$H$163)</f>
        <v>2.1577570911961962E-2</v>
      </c>
      <c r="H250" s="79">
        <f t="shared" si="35"/>
        <v>1</v>
      </c>
    </row>
    <row r="251" spans="1:8" x14ac:dyDescent="0.2">
      <c r="A251" s="10">
        <f t="shared" si="36"/>
        <v>2025</v>
      </c>
      <c r="B251" t="s">
        <v>14</v>
      </c>
      <c r="C251" s="77">
        <f>(Indeks!C253/Indeks!C$163*Indeks!C$160)/(Indeks!$H253/Indeks!$H$163)</f>
        <v>0.59910744753270839</v>
      </c>
      <c r="D251" s="77">
        <f>(Indeks!D253/Indeks!D$163*Indeks!D$160)/(Indeks!$H253/Indeks!$H$163)</f>
        <v>0.23048475295003412</v>
      </c>
      <c r="E251" s="77">
        <f>(Indeks!E253/Indeks!E$163*Indeks!E$160)/(Indeks!$H253/Indeks!$H$163)</f>
        <v>7.2022968739764007E-2</v>
      </c>
      <c r="F251" s="77">
        <f>(Indeks!F253/Indeks!F$163*Indeks!F$160)/(Indeks!$H253/Indeks!$H$163)</f>
        <v>7.6808872549517127E-2</v>
      </c>
      <c r="G251" s="77">
        <f>(Indeks!G253/Indeks!G$163*Indeks!G$160)/(Indeks!$H253/Indeks!$H$163)</f>
        <v>2.157595822797638E-2</v>
      </c>
      <c r="H251" s="77">
        <f t="shared" si="35"/>
        <v>1</v>
      </c>
    </row>
    <row r="252" spans="1:8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0.59906263186532693</v>
      </c>
      <c r="D252" s="78">
        <f>(Indeks!D254/Indeks!D$163*Indeks!D$160)/(Indeks!$H254/Indeks!$H$163)</f>
        <v>0.23046751175554181</v>
      </c>
      <c r="E252" s="78">
        <f>(Indeks!E254/Indeks!E$163*Indeks!E$160)/(Indeks!$H254/Indeks!$H$163)</f>
        <v>7.2088915269802628E-2</v>
      </c>
      <c r="F252" s="78">
        <f>(Indeks!F254/Indeks!F$163*Indeks!F$160)/(Indeks!$H254/Indeks!$H$163)</f>
        <v>7.6806596850551481E-2</v>
      </c>
      <c r="G252" s="78">
        <f>(Indeks!G254/Indeks!G$163*Indeks!G$160)/(Indeks!$H254/Indeks!$H$163)</f>
        <v>2.1574344258777096E-2</v>
      </c>
      <c r="H252" s="78">
        <f t="shared" si="35"/>
        <v>1</v>
      </c>
    </row>
    <row r="253" spans="1:8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0.60156746211841761</v>
      </c>
      <c r="D253" s="79">
        <f>(Indeks!D255/Indeks!D$163*Indeks!D$160)/(Indeks!$H255/Indeks!$H$163)</f>
        <v>0.22898491806602975</v>
      </c>
      <c r="E253" s="79">
        <f>(Indeks!E255/Indeks!E$163*Indeks!E$160)/(Indeks!$H255/Indeks!$H$163)</f>
        <v>7.1696113922317201E-2</v>
      </c>
      <c r="F253" s="79">
        <f>(Indeks!F255/Indeks!F$163*Indeks!F$160)/(Indeks!$H255/Indeks!$H$163)</f>
        <v>7.631594903407822E-2</v>
      </c>
      <c r="G253" s="79">
        <f>(Indeks!G255/Indeks!G$163*Indeks!G$160)/(Indeks!$H255/Indeks!$H$163)</f>
        <v>2.1435556859157177E-2</v>
      </c>
      <c r="H253" s="79">
        <f t="shared" si="35"/>
        <v>1</v>
      </c>
    </row>
    <row r="254" spans="1:8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0.60152267055705266</v>
      </c>
      <c r="D254" s="77">
        <f>(Indeks!D256/Indeks!D$163*Indeks!D$160)/(Indeks!$H256/Indeks!$H$163)</f>
        <v>0.22896786828748439</v>
      </c>
      <c r="E254" s="77">
        <f>(Indeks!E256/Indeks!E$163*Indeks!E$160)/(Indeks!$H256/Indeks!$H$163)</f>
        <v>7.176178600301604E-2</v>
      </c>
      <c r="F254" s="77">
        <f>(Indeks!F256/Indeks!F$163*Indeks!F$160)/(Indeks!$H256/Indeks!$H$163)</f>
        <v>7.6313714343809236E-2</v>
      </c>
      <c r="G254" s="77">
        <f>(Indeks!G256/Indeks!G$163*Indeks!G$160)/(Indeks!$H256/Indeks!$H$163)</f>
        <v>2.1433960808637641E-2</v>
      </c>
      <c r="H254" s="77">
        <f t="shared" si="35"/>
        <v>1</v>
      </c>
    </row>
    <row r="255" spans="1:8" ht="13.5" thickBot="1" x14ac:dyDescent="0.25">
      <c r="A255" s="30">
        <f t="shared" si="36"/>
        <v>2025</v>
      </c>
      <c r="B255" s="31" t="s">
        <v>18</v>
      </c>
      <c r="C255" s="250">
        <f>(Indeks!C257/Indeks!C$163*Indeks!C$160)/(Indeks!$H257/Indeks!$H$163)</f>
        <v>0.60147784326896969</v>
      </c>
      <c r="D255" s="250">
        <f>(Indeks!D257/Indeks!D$163*Indeks!D$160)/(Indeks!$H257/Indeks!$H$163)</f>
        <v>0.22895080490966696</v>
      </c>
      <c r="E255" s="250">
        <f>(Indeks!E257/Indeks!E$163*Indeks!E$160)/(Indeks!$H257/Indeks!$H$163)</f>
        <v>7.1827513573213625E-2</v>
      </c>
      <c r="F255" s="250">
        <f>(Indeks!F257/Indeks!F$163*Indeks!F$160)/(Indeks!$H257/Indeks!$H$163)</f>
        <v>7.6311474763075926E-2</v>
      </c>
      <c r="G255" s="250">
        <f>(Indeks!G257/Indeks!G$163*Indeks!G$160)/(Indeks!$H257/Indeks!$H$163)</f>
        <v>2.1432363485073699E-2</v>
      </c>
      <c r="H255" s="250">
        <f t="shared" si="35"/>
        <v>1</v>
      </c>
    </row>
    <row r="256" spans="1:8" x14ac:dyDescent="0.2">
      <c r="A256" s="2">
        <v>2026</v>
      </c>
      <c r="B256" t="s">
        <v>8</v>
      </c>
      <c r="C256" s="77">
        <f>(Indeks!C258/Indeks!C$163*Indeks!C$160)/(Indeks!$H258/Indeks!$H$163)</f>
        <v>0.60374740679621652</v>
      </c>
      <c r="D256" s="77">
        <f>(Indeks!D258/Indeks!D$163*Indeks!D$160)/(Indeks!$H258/Indeks!$H$163)</f>
        <v>0.22757366098960127</v>
      </c>
      <c r="E256" s="77">
        <f>(Indeks!E258/Indeks!E$163*Indeks!E$160)/(Indeks!$H258/Indeks!$H$163)</f>
        <v>7.1485889683697401E-2</v>
      </c>
      <c r="F256" s="77">
        <f>(Indeks!F258/Indeks!F$163*Indeks!F$160)/(Indeks!$H258/Indeks!$H$163)</f>
        <v>7.5889595163778786E-2</v>
      </c>
      <c r="G256" s="77">
        <f>(Indeks!G258/Indeks!G$163*Indeks!G$160)/(Indeks!$H258/Indeks!$H$163)</f>
        <v>2.130344736670603E-2</v>
      </c>
      <c r="H256" s="77">
        <f t="shared" ref="H256:H267" si="37">SUM(C256:G256)</f>
        <v>1</v>
      </c>
    </row>
    <row r="257" spans="1:8" x14ac:dyDescent="0.2">
      <c r="A257" s="10">
        <f>A256</f>
        <v>2026</v>
      </c>
      <c r="B257" t="s">
        <v>9</v>
      </c>
      <c r="C257" s="77">
        <f>(Indeks!C259/Indeks!C$163*Indeks!C$160)/(Indeks!$H259/Indeks!$H$163)</f>
        <v>0.6036703251313813</v>
      </c>
      <c r="D257" s="77">
        <f>(Indeks!D259/Indeks!D$163*Indeks!D$160)/(Indeks!$H259/Indeks!$H$163)</f>
        <v>0.22754460619538722</v>
      </c>
      <c r="E257" s="77">
        <f>(Indeks!E259/Indeks!E$163*Indeks!E$160)/(Indeks!$H259/Indeks!$H$163)</f>
        <v>7.1567286009077469E-2</v>
      </c>
      <c r="F257" s="77">
        <f>(Indeks!F259/Indeks!F$163*Indeks!F$160)/(Indeks!$H259/Indeks!$H$163)</f>
        <v>7.5917055152094598E-2</v>
      </c>
      <c r="G257" s="77">
        <f>(Indeks!G259/Indeks!G$163*Indeks!G$160)/(Indeks!$H259/Indeks!$H$163)</f>
        <v>2.1300727512059418E-2</v>
      </c>
      <c r="H257" s="77">
        <f t="shared" si="37"/>
        <v>1</v>
      </c>
    </row>
    <row r="258" spans="1:8" x14ac:dyDescent="0.2">
      <c r="A258" s="12">
        <f t="shared" ref="A258:A267" si="38">A257</f>
        <v>2026</v>
      </c>
      <c r="B258" s="13" t="s">
        <v>10</v>
      </c>
      <c r="C258" s="78">
        <f>(Indeks!C260/Indeks!C$163*Indeks!C$160)/(Indeks!$H260/Indeks!$H$163)</f>
        <v>0.60359318298020592</v>
      </c>
      <c r="D258" s="78">
        <f>(Indeks!D260/Indeks!D$163*Indeks!D$160)/(Indeks!$H260/Indeks!$H$163)</f>
        <v>0.22751552860174129</v>
      </c>
      <c r="E258" s="78">
        <f>(Indeks!E260/Indeks!E$163*Indeks!E$160)/(Indeks!$H260/Indeks!$H$163)</f>
        <v>7.1648766667011657E-2</v>
      </c>
      <c r="F258" s="78">
        <f>(Indeks!F260/Indeks!F$163*Indeks!F$160)/(Indeks!$H260/Indeks!$H$163)</f>
        <v>7.5944516227910819E-2</v>
      </c>
      <c r="G258" s="78">
        <f>(Indeks!G260/Indeks!G$163*Indeks!G$160)/(Indeks!$H260/Indeks!$H$163)</f>
        <v>2.1298005523130239E-2</v>
      </c>
      <c r="H258" s="78">
        <f t="shared" si="37"/>
        <v>1</v>
      </c>
    </row>
    <row r="259" spans="1:8" x14ac:dyDescent="0.2">
      <c r="A259" s="17">
        <f t="shared" si="38"/>
        <v>2026</v>
      </c>
      <c r="B259" s="18" t="s">
        <v>11</v>
      </c>
      <c r="C259" s="79">
        <f>(Indeks!C261/Indeks!C$163*Indeks!C$160)/(Indeks!$H261/Indeks!$H$163)</f>
        <v>0.60585842816959001</v>
      </c>
      <c r="D259" s="79">
        <f>(Indeks!D261/Indeks!D$163*Indeks!D$160)/(Indeks!$H261/Indeks!$H$163)</f>
        <v>0.22614242674171264</v>
      </c>
      <c r="E259" s="79">
        <f>(Indeks!E261/Indeks!E$163*Indeks!E$160)/(Indeks!$H261/Indeks!$H$163)</f>
        <v>7.1306545258434259E-2</v>
      </c>
      <c r="F259" s="79">
        <f>(Indeks!F261/Indeks!F$163*Indeks!F$160)/(Indeks!$H261/Indeks!$H$163)</f>
        <v>7.5523132043341129E-2</v>
      </c>
      <c r="G259" s="79">
        <f>(Indeks!G261/Indeks!G$163*Indeks!G$160)/(Indeks!$H261/Indeks!$H$163)</f>
        <v>2.1169467786921903E-2</v>
      </c>
      <c r="H259" s="79">
        <f t="shared" si="37"/>
        <v>1</v>
      </c>
    </row>
    <row r="260" spans="1:8" x14ac:dyDescent="0.2">
      <c r="A260" s="10">
        <f t="shared" si="38"/>
        <v>2026</v>
      </c>
      <c r="B260" t="s">
        <v>12</v>
      </c>
      <c r="C260" s="77">
        <f>(Indeks!C262/Indeks!C$163*Indeks!C$160)/(Indeks!$H262/Indeks!$H$163)</f>
        <v>0.60578132323261202</v>
      </c>
      <c r="D260" s="77">
        <f>(Indeks!D262/Indeks!D$163*Indeks!D$160)/(Indeks!$H262/Indeks!$H$163)</f>
        <v>0.22611364658986324</v>
      </c>
      <c r="E260" s="77">
        <f>(Indeks!E262/Indeks!E$163*Indeks!E$160)/(Indeks!$H262/Indeks!$H$163)</f>
        <v>7.1387766394675894E-2</v>
      </c>
      <c r="F260" s="77">
        <f>(Indeks!F262/Indeks!F$163*Indeks!F$160)/(Indeks!$H262/Indeks!$H$163)</f>
        <v>7.5550490140967499E-2</v>
      </c>
      <c r="G260" s="77">
        <f>(Indeks!G262/Indeks!G$163*Indeks!G$160)/(Indeks!$H262/Indeks!$H$163)</f>
        <v>2.1166773641881291E-2</v>
      </c>
      <c r="H260" s="77">
        <f t="shared" si="37"/>
        <v>0.99999999999999989</v>
      </c>
    </row>
    <row r="261" spans="1:8" x14ac:dyDescent="0.2">
      <c r="A261" s="12">
        <f t="shared" si="38"/>
        <v>2026</v>
      </c>
      <c r="B261" s="13" t="s">
        <v>13</v>
      </c>
      <c r="C261" s="78">
        <f>(Indeks!C263/Indeks!C$163*Indeks!C$160)/(Indeks!$H263/Indeks!$H$163)</f>
        <v>0.60570415769952002</v>
      </c>
      <c r="D261" s="78">
        <f>(Indeks!D263/Indeks!D$163*Indeks!D$160)/(Indeks!$H263/Indeks!$H$163)</f>
        <v>0.22608484381993735</v>
      </c>
      <c r="E261" s="78">
        <f>(Indeks!E263/Indeks!E$163*Indeks!E$160)/(Indeks!$H263/Indeks!$H$163)</f>
        <v>7.1469071737402023E-2</v>
      </c>
      <c r="F261" s="78">
        <f>(Indeks!F263/Indeks!F$163*Indeks!F$160)/(Indeks!$H263/Indeks!$H$163)</f>
        <v>7.5577849363605482E-2</v>
      </c>
      <c r="G261" s="78">
        <f>(Indeks!G263/Indeks!G$163*Indeks!G$160)/(Indeks!$H263/Indeks!$H$163)</f>
        <v>2.1164077379535007E-2</v>
      </c>
      <c r="H261" s="78">
        <f t="shared" si="37"/>
        <v>0.99999999999999978</v>
      </c>
    </row>
    <row r="262" spans="1:8" x14ac:dyDescent="0.2">
      <c r="A262" s="17">
        <f t="shared" si="38"/>
        <v>2026</v>
      </c>
      <c r="B262" s="22" t="s">
        <v>30</v>
      </c>
      <c r="C262" s="79">
        <f>(Indeks!C264/Indeks!C$163*Indeks!C$160)/(Indeks!$H264/Indeks!$H$163)</f>
        <v>0.60796500915987084</v>
      </c>
      <c r="D262" s="79">
        <f>(Indeks!D264/Indeks!D$163*Indeks!D$160)/(Indeks!$H264/Indeks!$H$163)</f>
        <v>0.22471582416525515</v>
      </c>
      <c r="E262" s="79">
        <f>(Indeks!E264/Indeks!E$163*Indeks!E$160)/(Indeks!$H264/Indeks!$H$163)</f>
        <v>7.1126267752462627E-2</v>
      </c>
      <c r="F262" s="79">
        <f>(Indeks!F264/Indeks!F$163*Indeks!F$160)/(Indeks!$H264/Indeks!$H$163)</f>
        <v>7.5156977138873995E-2</v>
      </c>
      <c r="G262" s="79">
        <f>(Indeks!G264/Indeks!G$163*Indeks!G$160)/(Indeks!$H264/Indeks!$H$163)</f>
        <v>2.1035921783537276E-2</v>
      </c>
      <c r="H262" s="79">
        <f t="shared" si="37"/>
        <v>1</v>
      </c>
    </row>
    <row r="263" spans="1:8" x14ac:dyDescent="0.2">
      <c r="A263" s="10">
        <f t="shared" si="38"/>
        <v>2026</v>
      </c>
      <c r="B263" t="s">
        <v>14</v>
      </c>
      <c r="C263" s="77">
        <f>(Indeks!C265/Indeks!C$163*Indeks!C$160)/(Indeks!$H265/Indeks!$H$163)</f>
        <v>0.60788788385681447</v>
      </c>
      <c r="D263" s="77">
        <f>(Indeks!D265/Indeks!D$163*Indeks!D$160)/(Indeks!$H265/Indeks!$H$163)</f>
        <v>0.22468731713643084</v>
      </c>
      <c r="E263" s="77">
        <f>(Indeks!E265/Indeks!E$163*Indeks!E$160)/(Indeks!$H265/Indeks!$H$163)</f>
        <v>7.1207312563813699E-2</v>
      </c>
      <c r="F263" s="77">
        <f>(Indeks!F265/Indeks!F$163*Indeks!F$160)/(Indeks!$H265/Indeks!$H$163)</f>
        <v>7.5184233237065676E-2</v>
      </c>
      <c r="G263" s="77">
        <f>(Indeks!G265/Indeks!G$163*Indeks!G$160)/(Indeks!$H265/Indeks!$H$163)</f>
        <v>2.1033253205875437E-2</v>
      </c>
      <c r="H263" s="77">
        <f t="shared" si="37"/>
        <v>1.0000000000000002</v>
      </c>
    </row>
    <row r="264" spans="1:8" x14ac:dyDescent="0.2">
      <c r="A264" s="12">
        <f t="shared" si="38"/>
        <v>2026</v>
      </c>
      <c r="B264" s="13" t="s">
        <v>15</v>
      </c>
      <c r="C264" s="78">
        <f>(Indeks!C266/Indeks!C$163*Indeks!C$160)/(Indeks!$H266/Indeks!$H$163)</f>
        <v>0.60781069784997088</v>
      </c>
      <c r="D264" s="78">
        <f>(Indeks!D266/Indeks!D$163*Indeks!D$160)/(Indeks!$H266/Indeks!$H$163)</f>
        <v>0.2246587876702929</v>
      </c>
      <c r="E264" s="78">
        <f>(Indeks!E266/Indeks!E$163*Indeks!E$160)/(Indeks!$H266/Indeks!$H$163)</f>
        <v>7.1288441454343654E-2</v>
      </c>
      <c r="F264" s="78">
        <f>(Indeks!F266/Indeks!F$163*Indeks!F$160)/(Indeks!$H266/Indeks!$H$163)</f>
        <v>7.5211490497563177E-2</v>
      </c>
      <c r="G264" s="78">
        <f>(Indeks!G266/Indeks!G$163*Indeks!G$160)/(Indeks!$H266/Indeks!$H$163)</f>
        <v>2.1030582527829363E-2</v>
      </c>
      <c r="H264" s="78">
        <f t="shared" si="37"/>
        <v>1</v>
      </c>
    </row>
    <row r="265" spans="1:8" x14ac:dyDescent="0.2">
      <c r="A265" s="10">
        <f t="shared" si="38"/>
        <v>2026</v>
      </c>
      <c r="B265" t="s">
        <v>16</v>
      </c>
      <c r="C265" s="79">
        <f>(Indeks!C267/Indeks!C$163*Indeks!C$160)/(Indeks!$H267/Indeks!$H$163)</f>
        <v>0.61006708087919914</v>
      </c>
      <c r="D265" s="79">
        <f>(Indeks!D267/Indeks!D$163*Indeks!D$160)/(Indeks!$H267/Indeks!$H$163)</f>
        <v>0.22329388981873954</v>
      </c>
      <c r="E265" s="79">
        <f>(Indeks!E267/Indeks!E$163*Indeks!E$160)/(Indeks!$H267/Indeks!$H$163)</f>
        <v>7.0945069854362636E-2</v>
      </c>
      <c r="F265" s="79">
        <f>(Indeks!F267/Indeks!F$163*Indeks!F$160)/(Indeks!$H267/Indeks!$H$163)</f>
        <v>7.4791146668859637E-2</v>
      </c>
      <c r="G265" s="79">
        <f>(Indeks!G267/Indeks!G$163*Indeks!G$160)/(Indeks!$H267/Indeks!$H$163)</f>
        <v>2.0902812778838833E-2</v>
      </c>
      <c r="H265" s="79">
        <f t="shared" si="37"/>
        <v>0.99999999999999989</v>
      </c>
    </row>
    <row r="266" spans="1:8" x14ac:dyDescent="0.2">
      <c r="A266" s="10">
        <f t="shared" si="38"/>
        <v>2026</v>
      </c>
      <c r="B266" t="s">
        <v>17</v>
      </c>
      <c r="C266" s="77">
        <f>(Indeks!C268/Indeks!C$163*Indeks!C$160)/(Indeks!$H268/Indeks!$H$163)</f>
        <v>0.60998993811128388</v>
      </c>
      <c r="D266" s="77">
        <f>(Indeks!D268/Indeks!D$163*Indeks!D$160)/(Indeks!$H268/Indeks!$H$163)</f>
        <v>0.22326565438486831</v>
      </c>
      <c r="E266" s="77">
        <f>(Indeks!E268/Indeks!E$163*Indeks!E$160)/(Indeks!$H268/Indeks!$H$163)</f>
        <v>7.1025937216128904E-2</v>
      </c>
      <c r="F266" s="77">
        <f>(Indeks!F268/Indeks!F$163*Indeks!F$160)/(Indeks!$H268/Indeks!$H$163)</f>
        <v>7.4818300662207696E-2</v>
      </c>
      <c r="G266" s="77">
        <f>(Indeks!G268/Indeks!G$163*Indeks!G$160)/(Indeks!$H268/Indeks!$H$163)</f>
        <v>2.0900169625511087E-2</v>
      </c>
      <c r="H266" s="77">
        <f t="shared" si="37"/>
        <v>1</v>
      </c>
    </row>
    <row r="267" spans="1:8" x14ac:dyDescent="0.2">
      <c r="A267" s="302">
        <f t="shared" si="38"/>
        <v>2026</v>
      </c>
      <c r="B267" s="317" t="s">
        <v>18</v>
      </c>
      <c r="C267" s="318">
        <f>(Indeks!C269/Indeks!C$163*Indeks!C$160)/(Indeks!$H269/Indeks!$H$163)</f>
        <v>0.60991273453401951</v>
      </c>
      <c r="D267" s="318">
        <f>(Indeks!D269/Indeks!D$163*Indeks!D$160)/(Indeks!$H269/Indeks!$H$163)</f>
        <v>0.22323739669384449</v>
      </c>
      <c r="E267" s="318">
        <f>(Indeks!E269/Indeks!E$163*Indeks!E$160)/(Indeks!$H269/Indeks!$H$163)</f>
        <v>7.1106888528537179E-2</v>
      </c>
      <c r="F267" s="318">
        <f>(Indeks!F269/Indeks!F$163*Indeks!F$160)/(Indeks!$H269/Indeks!$H$163)</f>
        <v>7.4845455854934601E-2</v>
      </c>
      <c r="G267" s="318">
        <f>(Indeks!G269/Indeks!G$163*Indeks!G$160)/(Indeks!$H269/Indeks!$H$163)</f>
        <v>2.0897524388664199E-2</v>
      </c>
      <c r="H267" s="318">
        <f t="shared" si="37"/>
        <v>1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zoomScaleNormal="100" workbookViewId="0">
      <selection activeCell="E245" sqref="E245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2" t="s">
        <v>30</v>
      </c>
      <c r="C165" s="203">
        <f>Indeks!H168</f>
        <v>126.21192405818607</v>
      </c>
      <c r="D165" s="204">
        <f t="shared" si="20"/>
        <v>3.404625247157342E-3</v>
      </c>
      <c r="E165" s="204"/>
      <c r="F165" s="204"/>
      <c r="G165" s="204"/>
      <c r="H165" s="205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2" t="s">
        <v>30</v>
      </c>
      <c r="C177" s="203">
        <f>Indeks!H180</f>
        <v>131.03215065216111</v>
      </c>
      <c r="D177" s="204">
        <f t="shared" si="22"/>
        <v>6.7031131723540062E-3</v>
      </c>
      <c r="E177" s="204"/>
      <c r="F177" s="204"/>
      <c r="G177" s="204"/>
      <c r="H177" s="205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2" t="s">
        <v>30</v>
      </c>
      <c r="C189" s="203">
        <f>Indeks!H192</f>
        <v>126.18225582763007</v>
      </c>
      <c r="D189" s="204">
        <f t="shared" si="24"/>
        <v>-6.1442204466057946E-3</v>
      </c>
      <c r="E189" s="204"/>
      <c r="F189" s="204"/>
      <c r="G189" s="204"/>
      <c r="H189" s="205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3" t="s">
        <v>8</v>
      </c>
      <c r="C195" s="254">
        <f>Indeks!H198</f>
        <v>129.14574686240405</v>
      </c>
      <c r="D195" s="255">
        <f t="shared" ref="D195:D206" si="26">(C195-C194)/C194</f>
        <v>6.3350748842902534E-3</v>
      </c>
      <c r="E195" s="255"/>
      <c r="F195" s="255"/>
      <c r="G195" s="255"/>
      <c r="H195" s="254"/>
    </row>
    <row r="196" spans="1:8" hidden="1" x14ac:dyDescent="0.2">
      <c r="A196" s="256">
        <f>A195</f>
        <v>2021</v>
      </c>
      <c r="B196" s="257" t="s">
        <v>9</v>
      </c>
      <c r="C196" s="258">
        <f>Indeks!H199</f>
        <v>130.13621118537159</v>
      </c>
      <c r="D196" s="259">
        <f t="shared" si="26"/>
        <v>7.6693530141787166E-3</v>
      </c>
      <c r="E196" s="259"/>
      <c r="F196" s="259"/>
      <c r="G196" s="259"/>
      <c r="H196" s="258"/>
    </row>
    <row r="197" spans="1:8" hidden="1" x14ac:dyDescent="0.2">
      <c r="A197" s="260">
        <f t="shared" ref="A197:A206" si="27">A196</f>
        <v>2021</v>
      </c>
      <c r="B197" s="261" t="s">
        <v>10</v>
      </c>
      <c r="C197" s="262">
        <f>Indeks!H200</f>
        <v>131.84898453595838</v>
      </c>
      <c r="D197" s="263">
        <f t="shared" si="26"/>
        <v>1.3161389401041028E-2</v>
      </c>
      <c r="E197" s="263">
        <f>(SUM(C195:C197)-SUM(C192:C194))/SUM(C192:C194)</f>
        <v>1.2658689345216793E-2</v>
      </c>
      <c r="F197" s="263"/>
      <c r="G197" s="263"/>
      <c r="H197" s="262"/>
    </row>
    <row r="198" spans="1:8" hidden="1" x14ac:dyDescent="0.2">
      <c r="A198" s="256">
        <f t="shared" si="27"/>
        <v>2021</v>
      </c>
      <c r="B198" s="264" t="s">
        <v>11</v>
      </c>
      <c r="C198" s="258">
        <f>Indeks!H201</f>
        <v>134.23984590165236</v>
      </c>
      <c r="D198" s="259">
        <f t="shared" si="26"/>
        <v>1.8133331660525106E-2</v>
      </c>
      <c r="E198" s="259"/>
      <c r="F198" s="259"/>
      <c r="G198" s="259"/>
      <c r="H198" s="258"/>
    </row>
    <row r="199" spans="1:8" hidden="1" x14ac:dyDescent="0.2">
      <c r="A199" s="266">
        <f t="shared" si="27"/>
        <v>2021</v>
      </c>
      <c r="B199" s="267" t="s">
        <v>12</v>
      </c>
      <c r="C199" s="268">
        <f>Indeks!H202</f>
        <v>135.89268628661833</v>
      </c>
      <c r="D199" s="269">
        <f t="shared" si="26"/>
        <v>1.2312591495202431E-2</v>
      </c>
      <c r="E199" s="269"/>
      <c r="F199" s="269"/>
      <c r="G199" s="269"/>
      <c r="H199" s="268"/>
    </row>
    <row r="200" spans="1:8" hidden="1" x14ac:dyDescent="0.2">
      <c r="A200" s="270">
        <f t="shared" si="27"/>
        <v>2021</v>
      </c>
      <c r="B200" s="271" t="s">
        <v>13</v>
      </c>
      <c r="C200" s="272">
        <f>Indeks!H203</f>
        <v>135.10863552588924</v>
      </c>
      <c r="D200" s="273">
        <f t="shared" si="26"/>
        <v>-5.7696317745563235E-3</v>
      </c>
      <c r="E200" s="273">
        <f>(SUM(C198:C200)-SUM(C195:C197))/SUM(C195:C197)</f>
        <v>3.6075450940333445E-2</v>
      </c>
      <c r="F200" s="273">
        <f>(SUM(C195:C200)-SUM(C189:C194))/SUM(C189:C194)</f>
        <v>3.6077172596997789E-2</v>
      </c>
      <c r="G200" s="273"/>
      <c r="H200" s="272"/>
    </row>
    <row r="201" spans="1:8" hidden="1" x14ac:dyDescent="0.2">
      <c r="A201" s="274">
        <f t="shared" si="27"/>
        <v>2021</v>
      </c>
      <c r="B201" s="275" t="s">
        <v>30</v>
      </c>
      <c r="C201" s="276">
        <f>Indeks!H204</f>
        <v>136.45974306767161</v>
      </c>
      <c r="D201" s="277">
        <f t="shared" si="26"/>
        <v>1.0000156811023916E-2</v>
      </c>
      <c r="E201" s="277"/>
      <c r="F201" s="277"/>
      <c r="G201" s="277"/>
      <c r="H201" s="278"/>
    </row>
    <row r="202" spans="1:8" hidden="1" x14ac:dyDescent="0.2">
      <c r="A202" s="256">
        <f t="shared" si="27"/>
        <v>2021</v>
      </c>
      <c r="B202" s="279" t="s">
        <v>14</v>
      </c>
      <c r="C202" s="258">
        <f>Indeks!H205</f>
        <v>136.66215614634447</v>
      </c>
      <c r="D202" s="259">
        <f t="shared" si="26"/>
        <v>1.4833171609628746E-3</v>
      </c>
      <c r="E202" s="259"/>
      <c r="F202" s="259"/>
      <c r="G202" s="259"/>
      <c r="H202" s="258"/>
    </row>
    <row r="203" spans="1:8" hidden="1" x14ac:dyDescent="0.2">
      <c r="A203" s="260">
        <f t="shared" si="27"/>
        <v>2021</v>
      </c>
      <c r="B203" s="280" t="s">
        <v>15</v>
      </c>
      <c r="C203" s="262">
        <f>Indeks!H206</f>
        <v>137.84699365313082</v>
      </c>
      <c r="D203" s="263">
        <f t="shared" si="26"/>
        <v>8.6698288699438488E-3</v>
      </c>
      <c r="E203" s="263">
        <f>(SUM(C201:C203)-SUM(C198:C200))/SUM(C198:C200)</f>
        <v>1.4134114718145007E-2</v>
      </c>
      <c r="F203" s="263"/>
      <c r="G203" s="263"/>
      <c r="H203" s="262"/>
    </row>
    <row r="204" spans="1:8" hidden="1" x14ac:dyDescent="0.2">
      <c r="A204" s="281">
        <f t="shared" si="27"/>
        <v>2021</v>
      </c>
      <c r="B204" s="282" t="s">
        <v>16</v>
      </c>
      <c r="C204" s="258">
        <f>Indeks!H207</f>
        <v>137.84454756423466</v>
      </c>
      <c r="D204" s="259">
        <f t="shared" si="26"/>
        <v>-1.7744956428424796E-5</v>
      </c>
      <c r="E204" s="259"/>
      <c r="F204" s="259"/>
      <c r="G204" s="259"/>
      <c r="H204" s="258"/>
    </row>
    <row r="205" spans="1:8" hidden="1" x14ac:dyDescent="0.2">
      <c r="A205" s="266">
        <f t="shared" si="27"/>
        <v>2021</v>
      </c>
      <c r="B205" s="284" t="s">
        <v>17</v>
      </c>
      <c r="C205" s="268">
        <f>Indeks!H208</f>
        <v>138.56189596334872</v>
      </c>
      <c r="D205" s="269">
        <f t="shared" si="26"/>
        <v>5.2040389829694127E-3</v>
      </c>
      <c r="E205" s="269"/>
      <c r="F205" s="269"/>
      <c r="G205" s="269"/>
      <c r="H205" s="268"/>
    </row>
    <row r="206" spans="1:8" ht="13.5" hidden="1" thickBot="1" x14ac:dyDescent="0.25">
      <c r="A206" s="285">
        <f t="shared" si="27"/>
        <v>2021</v>
      </c>
      <c r="B206" s="286" t="s">
        <v>18</v>
      </c>
      <c r="C206" s="287">
        <f>Indeks!H209</f>
        <v>141.4645862060365</v>
      </c>
      <c r="D206" s="288">
        <f t="shared" si="26"/>
        <v>2.0948690276694677E-2</v>
      </c>
      <c r="E206" s="288">
        <f>(SUM(C204:C206)-SUM(C201:C203))/SUM(C201:C203)</f>
        <v>1.679479149460655E-2</v>
      </c>
      <c r="F206" s="288">
        <f>(SUM(C201:C206)-SUM(C195:C200))/SUM(C195:C200)</f>
        <v>4.0769650120881233E-2</v>
      </c>
      <c r="G206" s="288">
        <f>(SUM(C195:C206)-SUM(C183:C194))/SUM(C183:C194)</f>
        <v>4.904529012364052E-2</v>
      </c>
      <c r="H206" s="287">
        <f>(C195+C196+C197+C198+C199+C200+C201+C202+C203+C204+C205+C206)/12</f>
        <v>135.43433607488839</v>
      </c>
    </row>
    <row r="207" spans="1:8" hidden="1" x14ac:dyDescent="0.2">
      <c r="A207" s="2">
        <v>2022</v>
      </c>
      <c r="B207" s="253" t="s">
        <v>8</v>
      </c>
      <c r="C207" s="254">
        <f>Indeks!H210</f>
        <v>142.66633079846494</v>
      </c>
      <c r="D207" s="255">
        <f t="shared" ref="D207:D218" si="28">(C207-C206)/C206</f>
        <v>8.4950207303342747E-3</v>
      </c>
      <c r="E207" s="255"/>
      <c r="F207" s="255"/>
      <c r="G207" s="255"/>
      <c r="H207" s="254"/>
    </row>
    <row r="208" spans="1:8" hidden="1" x14ac:dyDescent="0.2">
      <c r="A208" s="10">
        <f>A207</f>
        <v>2022</v>
      </c>
      <c r="B208" t="s">
        <v>9</v>
      </c>
      <c r="C208" s="258">
        <f>Indeks!H211</f>
        <v>142.67904981561259</v>
      </c>
      <c r="D208" s="259">
        <f t="shared" si="28"/>
        <v>8.9152199236223198E-5</v>
      </c>
      <c r="E208" s="259"/>
      <c r="F208" s="259"/>
      <c r="G208" s="259"/>
      <c r="H208" s="258"/>
    </row>
    <row r="209" spans="1:8" hidden="1" x14ac:dyDescent="0.2">
      <c r="A209" s="260">
        <f t="shared" ref="A209:A218" si="29">A208</f>
        <v>2022</v>
      </c>
      <c r="B209" s="261" t="s">
        <v>10</v>
      </c>
      <c r="C209" s="262">
        <f>Indeks!H212</f>
        <v>151.37779186562898</v>
      </c>
      <c r="D209" s="263">
        <f t="shared" si="28"/>
        <v>6.0967199187673148E-2</v>
      </c>
      <c r="E209" s="263">
        <f>(SUM(C207:C209)-SUM(C204:C206))/SUM(C204:C206)</f>
        <v>4.5114739727480535E-2</v>
      </c>
      <c r="F209" s="263"/>
      <c r="G209" s="263"/>
      <c r="H209" s="262"/>
    </row>
    <row r="210" spans="1:8" hidden="1" x14ac:dyDescent="0.2">
      <c r="A210" s="17">
        <f t="shared" si="29"/>
        <v>2022</v>
      </c>
      <c r="B210" s="18" t="s">
        <v>11</v>
      </c>
      <c r="C210" s="258">
        <f>Indeks!H213</f>
        <v>154.60870435421765</v>
      </c>
      <c r="D210" s="259">
        <f t="shared" si="28"/>
        <v>2.1343371763915028E-2</v>
      </c>
      <c r="E210" s="259"/>
      <c r="F210" s="259"/>
      <c r="G210" s="259"/>
      <c r="H210" s="258"/>
    </row>
    <row r="211" spans="1:8" hidden="1" x14ac:dyDescent="0.2">
      <c r="A211" s="266">
        <f t="shared" si="29"/>
        <v>2022</v>
      </c>
      <c r="B211" s="267" t="s">
        <v>12</v>
      </c>
      <c r="C211" s="268">
        <f>Indeks!H214</f>
        <v>161.16319043430852</v>
      </c>
      <c r="D211" s="269">
        <f t="shared" si="28"/>
        <v>4.2394030190397003E-2</v>
      </c>
      <c r="E211" s="269"/>
      <c r="F211" s="269"/>
      <c r="G211" s="269"/>
      <c r="H211" s="268"/>
    </row>
    <row r="212" spans="1:8" ht="13.5" hidden="1" thickBot="1" x14ac:dyDescent="0.25">
      <c r="A212" s="285">
        <f t="shared" si="29"/>
        <v>2022</v>
      </c>
      <c r="B212" s="286" t="s">
        <v>13</v>
      </c>
      <c r="C212" s="287">
        <f>Indeks!H215</f>
        <v>161.64528159953738</v>
      </c>
      <c r="D212" s="288">
        <f t="shared" si="28"/>
        <v>2.9913230429957898E-3</v>
      </c>
      <c r="E212" s="288">
        <f>(SUM(C210:C212)-SUM(C207:C209))/SUM(C207:C209)</f>
        <v>9.3180317584929756E-2</v>
      </c>
      <c r="F212" s="288">
        <f>(SUM(C207:C212)-SUM(C201:C206))/SUM(C201:C206)</f>
        <v>0.10291544113770973</v>
      </c>
      <c r="G212" s="288"/>
      <c r="H212" s="287"/>
    </row>
    <row r="213" spans="1:8" hidden="1" x14ac:dyDescent="0.2">
      <c r="A213" s="274">
        <f t="shared" si="29"/>
        <v>2022</v>
      </c>
      <c r="B213" s="275" t="s">
        <v>30</v>
      </c>
      <c r="C213" s="276">
        <f>Indeks!H216</f>
        <v>164.52406918097884</v>
      </c>
      <c r="D213" s="277">
        <f t="shared" si="28"/>
        <v>1.7809289284257689E-2</v>
      </c>
      <c r="E213" s="277"/>
      <c r="F213" s="277"/>
      <c r="G213" s="277"/>
      <c r="H213" s="278"/>
    </row>
    <row r="214" spans="1:8" hidden="1" x14ac:dyDescent="0.2">
      <c r="A214" s="256">
        <f t="shared" si="29"/>
        <v>2022</v>
      </c>
      <c r="B214" s="279" t="s">
        <v>14</v>
      </c>
      <c r="C214" s="258">
        <f>Indeks!H217</f>
        <v>167.39444295191396</v>
      </c>
      <c r="D214" s="259">
        <f t="shared" si="28"/>
        <v>1.7446527947091225E-2</v>
      </c>
      <c r="E214" s="259"/>
      <c r="F214" s="259"/>
      <c r="G214" s="259"/>
      <c r="H214" s="258"/>
    </row>
    <row r="215" spans="1:8" hidden="1" x14ac:dyDescent="0.2">
      <c r="A215" s="260">
        <f t="shared" si="29"/>
        <v>2022</v>
      </c>
      <c r="B215" s="280" t="s">
        <v>15</v>
      </c>
      <c r="C215" s="262">
        <f>Indeks!H218</f>
        <v>166.94707855189776</v>
      </c>
      <c r="D215" s="263">
        <f t="shared" si="28"/>
        <v>-2.6725164355946331E-3</v>
      </c>
      <c r="E215" s="263">
        <f>(SUM(C213:C215)-SUM(C210:C212))/SUM(C210:C212)</f>
        <v>4.4925937644298156E-2</v>
      </c>
      <c r="F215" s="263"/>
      <c r="G215" s="263"/>
      <c r="H215" s="262"/>
    </row>
    <row r="216" spans="1:8" hidden="1" x14ac:dyDescent="0.2">
      <c r="A216" s="17">
        <f t="shared" si="29"/>
        <v>2022</v>
      </c>
      <c r="B216" s="18" t="s">
        <v>16</v>
      </c>
      <c r="C216" s="258">
        <f>Indeks!H219</f>
        <v>163.85548372613056</v>
      </c>
      <c r="D216" s="259">
        <f t="shared" si="28"/>
        <v>-1.8518412257247967E-2</v>
      </c>
      <c r="E216" s="259"/>
      <c r="F216" s="259"/>
      <c r="G216" s="259"/>
      <c r="H216" s="258"/>
    </row>
    <row r="217" spans="1:8" hidden="1" x14ac:dyDescent="0.2">
      <c r="A217" s="266">
        <f t="shared" si="29"/>
        <v>2022</v>
      </c>
      <c r="B217" s="267" t="s">
        <v>17</v>
      </c>
      <c r="C217" s="268">
        <f>Indeks!H220</f>
        <v>167.86901231186818</v>
      </c>
      <c r="D217" s="269">
        <f t="shared" si="28"/>
        <v>2.4494319594734242E-2</v>
      </c>
      <c r="E217" s="269"/>
      <c r="F217" s="269"/>
      <c r="G217" s="269"/>
      <c r="H217" s="268"/>
    </row>
    <row r="218" spans="1:8" ht="13.5" hidden="1" thickBot="1" x14ac:dyDescent="0.25">
      <c r="A218" s="285">
        <f t="shared" si="29"/>
        <v>2022</v>
      </c>
      <c r="B218" s="286" t="s">
        <v>18</v>
      </c>
      <c r="C218" s="287">
        <f>Indeks!H221</f>
        <v>171.04412418274603</v>
      </c>
      <c r="D218" s="288">
        <f t="shared" si="28"/>
        <v>1.8914222626026489E-2</v>
      </c>
      <c r="E218" s="288">
        <f>(SUM(C216:C218)-SUM(C213:C215))/SUM(C213:C215)</f>
        <v>7.8238098775192631E-3</v>
      </c>
      <c r="F218" s="288">
        <f>(SUM(C213:C218)-SUM(C207:C212))/SUM(C207:C212)</f>
        <v>9.5711629123616415E-2</v>
      </c>
      <c r="G218" s="288">
        <f>(SUM(C207:C218)-SUM(C195:C206))/SUM(C195:C206)</f>
        <v>0.1787843807410219</v>
      </c>
      <c r="H218" s="287">
        <f>(C207+C208+C209+C210+C211+C212+C213+C214+C215+C216+C217+C218)/12</f>
        <v>159.64787998110876</v>
      </c>
    </row>
    <row r="219" spans="1:8" x14ac:dyDescent="0.2">
      <c r="A219" s="2">
        <v>2023</v>
      </c>
      <c r="B219" s="253" t="s">
        <v>8</v>
      </c>
      <c r="C219" s="254">
        <f>Indeks!H222</f>
        <v>167.54791150243392</v>
      </c>
      <c r="D219" s="255">
        <f t="shared" ref="D219:D230" si="30">(C219-C218)/C218</f>
        <v>-2.0440413823141376E-2</v>
      </c>
      <c r="E219" s="255"/>
      <c r="F219" s="255"/>
      <c r="G219" s="255"/>
      <c r="H219" s="254"/>
    </row>
    <row r="220" spans="1:8" x14ac:dyDescent="0.2">
      <c r="A220" s="10">
        <f>A219</f>
        <v>2023</v>
      </c>
      <c r="B220" t="s">
        <v>9</v>
      </c>
      <c r="C220" s="258">
        <f>Indeks!H223</f>
        <v>163.29482029489142</v>
      </c>
      <c r="D220" s="259">
        <f t="shared" si="30"/>
        <v>-2.5384328395407739E-2</v>
      </c>
      <c r="E220" s="259"/>
      <c r="F220" s="259"/>
      <c r="G220" s="259"/>
      <c r="H220" s="258"/>
    </row>
    <row r="221" spans="1:8" x14ac:dyDescent="0.2">
      <c r="A221" s="260">
        <f t="shared" ref="A221:A230" si="31">A220</f>
        <v>2023</v>
      </c>
      <c r="B221" s="280" t="s">
        <v>10</v>
      </c>
      <c r="C221" s="262">
        <f>Indeks!H224</f>
        <v>165.03924335743366</v>
      </c>
      <c r="D221" s="263">
        <f t="shared" si="30"/>
        <v>1.0682660107601787E-2</v>
      </c>
      <c r="E221" s="263">
        <f>(SUM(C219:C221)-SUM(C216:C218))/SUM(C216:C218)</f>
        <v>-1.3697444090608078E-2</v>
      </c>
      <c r="F221" s="263"/>
      <c r="G221" s="263"/>
      <c r="H221" s="262"/>
    </row>
    <row r="222" spans="1:8" x14ac:dyDescent="0.2">
      <c r="A222" s="17">
        <f t="shared" si="31"/>
        <v>2023</v>
      </c>
      <c r="B222" s="18" t="s">
        <v>11</v>
      </c>
      <c r="C222" s="258">
        <f>Indeks!H225</f>
        <v>162.4946987127627</v>
      </c>
      <c r="D222" s="259">
        <f t="shared" si="30"/>
        <v>-1.5417815744344619E-2</v>
      </c>
      <c r="E222" s="259"/>
      <c r="F222" s="259"/>
      <c r="G222" s="259"/>
      <c r="H222" s="258"/>
    </row>
    <row r="223" spans="1:8" x14ac:dyDescent="0.2">
      <c r="A223" s="266">
        <f t="shared" si="31"/>
        <v>2023</v>
      </c>
      <c r="B223" s="267" t="s">
        <v>12</v>
      </c>
      <c r="C223" s="268">
        <f>Indeks!H226</f>
        <v>163.23102533608559</v>
      </c>
      <c r="D223" s="269">
        <f t="shared" si="30"/>
        <v>4.5313885877869735E-3</v>
      </c>
      <c r="E223" s="269"/>
      <c r="F223" s="269"/>
      <c r="G223" s="269"/>
      <c r="H223" s="268"/>
    </row>
    <row r="224" spans="1:8" x14ac:dyDescent="0.2">
      <c r="A224" s="270">
        <f t="shared" si="31"/>
        <v>2023</v>
      </c>
      <c r="B224" s="271" t="s">
        <v>13</v>
      </c>
      <c r="C224" s="272">
        <f>Indeks!H227</f>
        <v>161.88386198763266</v>
      </c>
      <c r="D224" s="273">
        <f t="shared" si="30"/>
        <v>-8.2531084129330613E-3</v>
      </c>
      <c r="E224" s="273">
        <f>(SUM(C222:C224)-SUM(C219:C221))/SUM(C219:C221)</f>
        <v>-1.6682173446002518E-2</v>
      </c>
      <c r="F224" s="273">
        <f>(SUM(C219:C224)-SUM(C213:C218))/SUM(C213:C218)</f>
        <v>-1.8113049171806256E-2</v>
      </c>
      <c r="G224" s="273"/>
      <c r="H224" s="272"/>
    </row>
    <row r="225" spans="1:8" x14ac:dyDescent="0.2">
      <c r="A225" s="17">
        <f t="shared" si="31"/>
        <v>2023</v>
      </c>
      <c r="B225" s="22" t="s">
        <v>30</v>
      </c>
      <c r="C225" s="276">
        <f>Indeks!H228</f>
        <v>159.4990241529556</v>
      </c>
      <c r="D225" s="277">
        <f t="shared" si="30"/>
        <v>-1.4731782435850526E-2</v>
      </c>
      <c r="E225" s="277"/>
      <c r="F225" s="277"/>
      <c r="G225" s="277"/>
      <c r="H225" s="278"/>
    </row>
    <row r="226" spans="1:8" x14ac:dyDescent="0.2">
      <c r="A226" s="10">
        <f t="shared" si="31"/>
        <v>2023</v>
      </c>
      <c r="B226" t="s">
        <v>14</v>
      </c>
      <c r="C226" s="258">
        <f>Indeks!H229</f>
        <v>162.16189723418211</v>
      </c>
      <c r="D226" s="259">
        <f t="shared" si="30"/>
        <v>1.6695231180053356E-2</v>
      </c>
      <c r="E226" s="259"/>
      <c r="F226" s="259"/>
      <c r="G226" s="259"/>
      <c r="H226" s="258"/>
    </row>
    <row r="227" spans="1:8" x14ac:dyDescent="0.2">
      <c r="A227" s="12">
        <f t="shared" si="31"/>
        <v>2023</v>
      </c>
      <c r="B227" s="13" t="s">
        <v>15</v>
      </c>
      <c r="C227" s="262">
        <f>Indeks!H230</f>
        <v>161.8148166361016</v>
      </c>
      <c r="D227" s="263">
        <f t="shared" si="30"/>
        <v>-2.1403338515414735E-3</v>
      </c>
      <c r="E227" s="263">
        <f>(SUM(C225:C227)-SUM(C222:C224))/SUM(C222:C224)</f>
        <v>-8.4777824957124551E-3</v>
      </c>
      <c r="F227" s="263"/>
      <c r="G227" s="263"/>
      <c r="H227" s="262"/>
    </row>
    <row r="228" spans="1:8" x14ac:dyDescent="0.2">
      <c r="A228" s="281">
        <f t="shared" si="31"/>
        <v>2023</v>
      </c>
      <c r="B228" s="282" t="s">
        <v>16</v>
      </c>
      <c r="C228" s="258">
        <f>Indeks!H231</f>
        <v>165.5065466007517</v>
      </c>
      <c r="D228" s="259">
        <f t="shared" si="30"/>
        <v>2.2814536031964743E-2</v>
      </c>
      <c r="E228" s="259"/>
      <c r="F228" s="259"/>
      <c r="G228" s="259"/>
      <c r="H228" s="258"/>
    </row>
    <row r="229" spans="1:8" x14ac:dyDescent="0.2">
      <c r="A229" s="10">
        <f t="shared" si="31"/>
        <v>2023</v>
      </c>
      <c r="B229" t="s">
        <v>17</v>
      </c>
      <c r="C229" s="268">
        <f>Indeks!H232</f>
        <v>166.92578641939716</v>
      </c>
      <c r="D229" s="269">
        <f t="shared" si="30"/>
        <v>8.5751279800977079E-3</v>
      </c>
      <c r="E229" s="269"/>
      <c r="F229" s="269"/>
      <c r="G229" s="269"/>
      <c r="H229" s="268"/>
    </row>
    <row r="230" spans="1:8" ht="13.5" thickBot="1" x14ac:dyDescent="0.25">
      <c r="A230" s="30">
        <f t="shared" si="31"/>
        <v>2023</v>
      </c>
      <c r="B230" s="31" t="s">
        <v>18</v>
      </c>
      <c r="C230" s="287">
        <f>Indeks!H233</f>
        <v>166.62559295492355</v>
      </c>
      <c r="D230" s="288">
        <f t="shared" si="30"/>
        <v>-1.7983648357323241E-3</v>
      </c>
      <c r="E230" s="288">
        <f>(SUM(C228:C230)-SUM(C225:C227))/SUM(C225:C227)</f>
        <v>3.22295137612141E-2</v>
      </c>
      <c r="F230" s="288">
        <f>(SUM(C225:C230)-SUM(C219:C224))/SUM(C219:C224)</f>
        <v>-9.7397601639626281E-4</v>
      </c>
      <c r="G230" s="288">
        <f>(SUM(C219:C230)-SUM(C207:C218))/SUM(C207:C218)</f>
        <v>2.6229947130205572E-2</v>
      </c>
      <c r="H230" s="287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4">
        <f>Indeks!H234</f>
        <v>166.72014015198874</v>
      </c>
      <c r="D231" s="255">
        <f t="shared" ref="D231:D242" si="32">(C231-C230)/C230</f>
        <v>5.6742301940839281E-4</v>
      </c>
      <c r="E231" s="255"/>
      <c r="F231" s="255"/>
      <c r="G231" s="255"/>
      <c r="H231" s="254"/>
    </row>
    <row r="232" spans="1:8" x14ac:dyDescent="0.2">
      <c r="A232" s="10">
        <f>A231</f>
        <v>2024</v>
      </c>
      <c r="B232" t="s">
        <v>9</v>
      </c>
      <c r="C232" s="258">
        <f>Indeks!H235</f>
        <v>163.40976621340656</v>
      </c>
      <c r="D232" s="259">
        <f t="shared" si="32"/>
        <v>-1.9855873055074923E-2</v>
      </c>
      <c r="E232" s="259"/>
      <c r="F232" s="259"/>
      <c r="G232" s="259"/>
      <c r="H232" s="258"/>
    </row>
    <row r="233" spans="1:8" x14ac:dyDescent="0.2">
      <c r="A233" s="12">
        <f t="shared" ref="A233:A242" si="33">A232</f>
        <v>2024</v>
      </c>
      <c r="B233" s="13" t="s">
        <v>10</v>
      </c>
      <c r="C233" s="262">
        <f>Indeks!H236</f>
        <v>153.23542169368963</v>
      </c>
      <c r="D233" s="263">
        <f t="shared" si="32"/>
        <v>-6.2262768961003481E-2</v>
      </c>
      <c r="E233" s="263">
        <f>(SUM(C231:C233)-SUM(C228:C230))/SUM(C228:C230)</f>
        <v>-3.1444441815700733E-2</v>
      </c>
      <c r="F233" s="263"/>
      <c r="G233" s="263"/>
      <c r="H233" s="262"/>
    </row>
    <row r="234" spans="1:8" x14ac:dyDescent="0.2">
      <c r="A234" s="17">
        <f t="shared" si="33"/>
        <v>2024</v>
      </c>
      <c r="B234" s="18" t="s">
        <v>11</v>
      </c>
      <c r="C234" s="258">
        <f>Indeks!H237</f>
        <v>155.30647150395399</v>
      </c>
      <c r="D234" s="259">
        <f t="shared" si="32"/>
        <v>1.3515476952869854E-2</v>
      </c>
      <c r="E234" s="259"/>
      <c r="F234" s="259"/>
      <c r="G234" s="259"/>
      <c r="H234" s="258"/>
    </row>
    <row r="235" spans="1:8" x14ac:dyDescent="0.2">
      <c r="A235" s="10">
        <f t="shared" si="33"/>
        <v>2024</v>
      </c>
      <c r="B235" t="s">
        <v>12</v>
      </c>
      <c r="C235" s="268">
        <f>Indeks!H238</f>
        <v>154.23684032546961</v>
      </c>
      <c r="D235" s="269">
        <f t="shared" si="32"/>
        <v>-6.8872286397746113E-3</v>
      </c>
      <c r="E235" s="269"/>
      <c r="F235" s="269"/>
      <c r="G235" s="269"/>
      <c r="H235" s="268"/>
    </row>
    <row r="236" spans="1:8" x14ac:dyDescent="0.2">
      <c r="A236" s="12">
        <f t="shared" si="33"/>
        <v>2024</v>
      </c>
      <c r="B236" s="13" t="s">
        <v>13</v>
      </c>
      <c r="C236" s="272">
        <f>Indeks!H239</f>
        <v>154.07731026602255</v>
      </c>
      <c r="D236" s="273">
        <f t="shared" si="32"/>
        <v>-1.0343187730663115E-3</v>
      </c>
      <c r="E236" s="273">
        <f>(SUM(C234:C236)-SUM(C231:C233))/SUM(C231:C233)</f>
        <v>-4.0848411786013082E-2</v>
      </c>
      <c r="F236" s="273">
        <f>(SUM(C231:C236)-SUM(C225:C230))/SUM(C225:C230)</f>
        <v>-3.6179639585195468E-2</v>
      </c>
      <c r="G236" s="273"/>
      <c r="H236" s="272"/>
    </row>
    <row r="237" spans="1:8" x14ac:dyDescent="0.2">
      <c r="A237" s="17">
        <f t="shared" si="33"/>
        <v>2024</v>
      </c>
      <c r="B237" s="22" t="s">
        <v>30</v>
      </c>
      <c r="C237" s="276">
        <f>Indeks!H240</f>
        <v>152.69587786859492</v>
      </c>
      <c r="D237" s="277">
        <f t="shared" si="32"/>
        <v>-8.965839259800908E-3</v>
      </c>
      <c r="E237" s="277"/>
      <c r="F237" s="277"/>
      <c r="G237" s="277"/>
      <c r="H237" s="278"/>
    </row>
    <row r="238" spans="1:8" x14ac:dyDescent="0.2">
      <c r="A238" s="10">
        <f t="shared" si="33"/>
        <v>2024</v>
      </c>
      <c r="B238" t="s">
        <v>14</v>
      </c>
      <c r="C238" s="258">
        <f>Indeks!H241</f>
        <v>151.18221273446221</v>
      </c>
      <c r="D238" s="259">
        <f t="shared" si="32"/>
        <v>-9.9129403835990833E-3</v>
      </c>
      <c r="E238" s="259"/>
      <c r="F238" s="259"/>
      <c r="G238" s="259"/>
      <c r="H238" s="258"/>
    </row>
    <row r="239" spans="1:8" x14ac:dyDescent="0.2">
      <c r="A239" s="12">
        <f t="shared" si="33"/>
        <v>2024</v>
      </c>
      <c r="B239" s="13" t="s">
        <v>15</v>
      </c>
      <c r="C239" s="262">
        <f>Indeks!H242</f>
        <v>152.73494619286586</v>
      </c>
      <c r="D239" s="263">
        <f t="shared" si="32"/>
        <v>1.0270609421036097E-2</v>
      </c>
      <c r="E239" s="263">
        <f>(SUM(C237:C239)-SUM(C234:C236))/SUM(C234:C236)</f>
        <v>-1.5114912852346108E-2</v>
      </c>
      <c r="F239" s="263"/>
      <c r="G239" s="263"/>
      <c r="H239" s="262"/>
    </row>
    <row r="240" spans="1:8" x14ac:dyDescent="0.2">
      <c r="A240" s="17">
        <f t="shared" si="33"/>
        <v>2024</v>
      </c>
      <c r="B240" s="18" t="s">
        <v>16</v>
      </c>
      <c r="C240" s="258">
        <f>Indeks!H243</f>
        <v>153.28788302490676</v>
      </c>
      <c r="D240" s="259">
        <f t="shared" si="32"/>
        <v>3.6202378422465209E-3</v>
      </c>
      <c r="E240" s="259"/>
      <c r="F240" s="259"/>
      <c r="G240" s="259"/>
      <c r="H240" s="258"/>
    </row>
    <row r="241" spans="1:8" x14ac:dyDescent="0.2">
      <c r="A241" s="10">
        <f t="shared" si="33"/>
        <v>2024</v>
      </c>
      <c r="B241" t="s">
        <v>17</v>
      </c>
      <c r="C241" s="268">
        <f>Indeks!H244</f>
        <v>151.31684562173675</v>
      </c>
      <c r="D241" s="269">
        <f t="shared" si="32"/>
        <v>-1.2858403184090907E-2</v>
      </c>
      <c r="E241" s="269"/>
      <c r="F241" s="269"/>
      <c r="G241" s="269"/>
      <c r="H241" s="268"/>
    </row>
    <row r="242" spans="1:8" ht="13.5" thickBot="1" x14ac:dyDescent="0.25">
      <c r="A242" s="30">
        <f t="shared" si="33"/>
        <v>2024</v>
      </c>
      <c r="B242" s="31" t="s">
        <v>18</v>
      </c>
      <c r="C242" s="287">
        <f>Indeks!H245</f>
        <v>152.29238818987139</v>
      </c>
      <c r="D242" s="288">
        <f t="shared" si="32"/>
        <v>6.4470189298904152E-3</v>
      </c>
      <c r="E242" s="288">
        <f>(SUM(C240:C242)-SUM(C237:C239))/SUM(C237:C239)</f>
        <v>6.2214614498374112E-4</v>
      </c>
      <c r="F242" s="288">
        <f>(SUM(C237:C242)-SUM(C231:C236))/SUM(C231:C236)</f>
        <v>-3.53498344052839E-2</v>
      </c>
      <c r="G242" s="288">
        <f>(SUM(C231:C242)-SUM(C219:C230))/SUM(C219:C230)</f>
        <v>-5.3676382200237745E-2</v>
      </c>
      <c r="H242" s="287">
        <f>(C231+C232+C233+C234+C235+C236+C237+C238+C239+C240+C241+C242)/12</f>
        <v>155.04134198224742</v>
      </c>
    </row>
    <row r="243" spans="1:8" x14ac:dyDescent="0.2">
      <c r="A243" s="2">
        <v>2025</v>
      </c>
      <c r="B243" t="s">
        <v>8</v>
      </c>
      <c r="C243" s="254">
        <f>Indeks!H246</f>
        <v>152.67812202911551</v>
      </c>
      <c r="D243" s="255">
        <f t="shared" ref="D243:D254" si="34">(C243-C242)/C242</f>
        <v>2.5328504190452981E-3</v>
      </c>
      <c r="E243" s="255"/>
      <c r="F243" s="255"/>
      <c r="G243" s="255"/>
      <c r="H243" s="254"/>
    </row>
    <row r="244" spans="1:8" x14ac:dyDescent="0.2">
      <c r="A244" s="10">
        <f>A243</f>
        <v>2025</v>
      </c>
      <c r="B244" t="s">
        <v>9</v>
      </c>
      <c r="C244" s="258">
        <f>Indeks!H247</f>
        <v>152.36648388964974</v>
      </c>
      <c r="D244" s="259">
        <f t="shared" si="34"/>
        <v>-2.0411446992146119E-3</v>
      </c>
      <c r="E244" s="259"/>
      <c r="F244" s="259"/>
      <c r="G244" s="259"/>
      <c r="H244" s="258"/>
    </row>
    <row r="245" spans="1:8" x14ac:dyDescent="0.2">
      <c r="A245" s="12">
        <f t="shared" ref="A245:A254" si="35">A244</f>
        <v>2025</v>
      </c>
      <c r="B245" s="13" t="s">
        <v>10</v>
      </c>
      <c r="C245" s="262">
        <f>Indeks!H248</f>
        <v>154.15387204668417</v>
      </c>
      <c r="D245" s="263">
        <f t="shared" si="34"/>
        <v>1.1730848618446366E-2</v>
      </c>
      <c r="E245" s="263">
        <f>(SUM(C243:C245)-SUM(C240:C242))/SUM(C240:C242)</f>
        <v>5.0369351088682098E-3</v>
      </c>
      <c r="F245" s="263"/>
      <c r="G245" s="263"/>
      <c r="H245" s="262"/>
    </row>
    <row r="246" spans="1:8" x14ac:dyDescent="0.2">
      <c r="A246" s="17">
        <f t="shared" si="35"/>
        <v>2025</v>
      </c>
      <c r="B246" s="18" t="s">
        <v>11</v>
      </c>
      <c r="C246" s="258">
        <f>Indeks!H249</f>
        <v>154.4880610373981</v>
      </c>
      <c r="D246" s="259">
        <f t="shared" si="34"/>
        <v>2.1678922901963819E-3</v>
      </c>
      <c r="E246" s="259"/>
      <c r="F246" s="259"/>
      <c r="G246" s="259"/>
      <c r="H246" s="258"/>
    </row>
    <row r="247" spans="1:8" x14ac:dyDescent="0.2">
      <c r="A247" s="10">
        <f t="shared" si="35"/>
        <v>2025</v>
      </c>
      <c r="B247" t="s">
        <v>12</v>
      </c>
      <c r="C247" s="268">
        <f>Indeks!H250</f>
        <v>153.34351304925661</v>
      </c>
      <c r="D247" s="269">
        <f t="shared" si="34"/>
        <v>-7.4086500953909522E-3</v>
      </c>
      <c r="E247" s="269"/>
      <c r="F247" s="269"/>
      <c r="G247" s="269"/>
      <c r="H247" s="268"/>
    </row>
    <row r="248" spans="1:8" x14ac:dyDescent="0.2">
      <c r="A248" s="12">
        <f t="shared" si="35"/>
        <v>2025</v>
      </c>
      <c r="B248" s="13" t="s">
        <v>13</v>
      </c>
      <c r="C248" s="272">
        <f>Indeks!H251</f>
        <v>151.17466959254051</v>
      </c>
      <c r="D248" s="273">
        <f t="shared" si="34"/>
        <v>-1.4143692247479902E-2</v>
      </c>
      <c r="E248" s="273">
        <f>(SUM(C246:C248)-SUM(C243:C245))/SUM(C243:C245)</f>
        <v>-4.1863005972036507E-4</v>
      </c>
      <c r="F248" s="273">
        <f>(SUM(C243:C248)-SUM(C237:C242))/SUM(C237:C242)</f>
        <v>5.1390430566528658E-3</v>
      </c>
      <c r="G248" s="273"/>
      <c r="H248" s="272"/>
    </row>
    <row r="249" spans="1:8" x14ac:dyDescent="0.2">
      <c r="A249" s="17">
        <f t="shared" si="35"/>
        <v>2025</v>
      </c>
      <c r="B249" s="22" t="s">
        <v>30</v>
      </c>
      <c r="C249" s="158">
        <f>Indeks!H252</f>
        <v>152.14960392527411</v>
      </c>
      <c r="D249" s="160">
        <f t="shared" si="34"/>
        <v>6.4490587964328057E-3</v>
      </c>
      <c r="E249" s="160"/>
      <c r="F249" s="160"/>
      <c r="G249" s="160"/>
      <c r="H249" s="133"/>
    </row>
    <row r="250" spans="1:8" x14ac:dyDescent="0.2">
      <c r="A250" s="10">
        <f t="shared" si="35"/>
        <v>2025</v>
      </c>
      <c r="B250" t="s">
        <v>14</v>
      </c>
      <c r="C250" s="156">
        <f>Indeks!H253</f>
        <v>152.16097626976378</v>
      </c>
      <c r="D250" s="133">
        <f t="shared" si="34"/>
        <v>7.4744489609433415E-5</v>
      </c>
      <c r="E250" s="133"/>
      <c r="F250" s="133"/>
      <c r="G250" s="133"/>
      <c r="H250" s="133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152.1723593795393</v>
      </c>
      <c r="D251" s="159">
        <f t="shared" si="34"/>
        <v>7.4809652609887552E-5</v>
      </c>
      <c r="E251" s="159">
        <f>(SUM(C249:C251)-SUM(C246:C248))/SUM(C246:C248)</f>
        <v>-5.4973197845682121E-3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153.15761981345668</v>
      </c>
      <c r="D252" s="133">
        <f t="shared" si="34"/>
        <v>6.4746346704134148E-3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153.16902448573617</v>
      </c>
      <c r="D253" s="133">
        <f t="shared" si="34"/>
        <v>7.4463629647597036E-5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49">
        <f>Indeks!H257</f>
        <v>153.18043995525485</v>
      </c>
      <c r="D254" s="250">
        <f t="shared" si="34"/>
        <v>7.4528577543720559E-5</v>
      </c>
      <c r="E254" s="251">
        <f>(SUM(C252:C254)-SUM(C249:C251))/SUM(C249:C251)</f>
        <v>6.6248799630690136E-3</v>
      </c>
      <c r="F254" s="251">
        <f>(SUM(C249:C254)-SUM(C243:C248))/SUM(C243:C248)</f>
        <v>-2.4119869604382646E-3</v>
      </c>
      <c r="G254" s="251">
        <f>(SUM(C243:C254)-SUM(C231:C242))/SUM(C231:C242)</f>
        <v>-1.4136744634812229E-2</v>
      </c>
      <c r="H254" s="252">
        <f>(C243+C244+C245+C246+C247+C248+C249+C250+C251+C252+C253+C254)/12</f>
        <v>152.84956212280579</v>
      </c>
    </row>
    <row r="255" spans="1:8" x14ac:dyDescent="0.2">
      <c r="A255" s="2">
        <v>2026</v>
      </c>
      <c r="B255" t="s">
        <v>8</v>
      </c>
      <c r="C255" s="156">
        <f>Indeks!H258</f>
        <v>154.10739921161189</v>
      </c>
      <c r="D255" s="133">
        <f t="shared" ref="D255:D266" si="36">(C255-C254)/C254</f>
        <v>6.0514205118343354E-3</v>
      </c>
      <c r="E255" s="133"/>
      <c r="F255" s="133"/>
      <c r="G255" s="133"/>
      <c r="H255" s="133"/>
    </row>
    <row r="256" spans="1:8" x14ac:dyDescent="0.2">
      <c r="A256" s="10">
        <f>A255</f>
        <v>2026</v>
      </c>
      <c r="B256" t="s">
        <v>9</v>
      </c>
      <c r="C256" s="156">
        <f>Indeks!H259</f>
        <v>154.12707693039337</v>
      </c>
      <c r="D256" s="133">
        <f t="shared" si="36"/>
        <v>1.2768834515505584E-4</v>
      </c>
      <c r="E256" s="133"/>
      <c r="F256" s="133"/>
      <c r="G256" s="133"/>
      <c r="H256" s="133"/>
    </row>
    <row r="257" spans="1:8" x14ac:dyDescent="0.2">
      <c r="A257" s="12">
        <f t="shared" ref="A257:A266" si="37">A256</f>
        <v>2026</v>
      </c>
      <c r="B257" s="13" t="s">
        <v>10</v>
      </c>
      <c r="C257" s="157">
        <f>Indeks!H260</f>
        <v>154.14677512216232</v>
      </c>
      <c r="D257" s="159">
        <f t="shared" si="36"/>
        <v>1.278048747907467E-4</v>
      </c>
      <c r="E257" s="159">
        <f>(SUM(C255:C257)-SUM(C252:C254))/SUM(C252:C254)</f>
        <v>6.2548916180112631E-3</v>
      </c>
      <c r="F257" s="159"/>
      <c r="G257" s="159"/>
      <c r="H257" s="159"/>
    </row>
    <row r="258" spans="1:8" x14ac:dyDescent="0.2">
      <c r="A258" s="17">
        <f t="shared" si="37"/>
        <v>2026</v>
      </c>
      <c r="B258" s="18" t="s">
        <v>11</v>
      </c>
      <c r="C258" s="158">
        <f>Indeks!H261</f>
        <v>155.08273051402432</v>
      </c>
      <c r="D258" s="160">
        <f t="shared" si="36"/>
        <v>6.071845428619862E-3</v>
      </c>
      <c r="E258" s="160"/>
      <c r="F258" s="160"/>
      <c r="G258" s="160"/>
      <c r="H258" s="133"/>
    </row>
    <row r="259" spans="1:8" x14ac:dyDescent="0.2">
      <c r="A259" s="10">
        <f t="shared" si="37"/>
        <v>2026</v>
      </c>
      <c r="B259" t="s">
        <v>12</v>
      </c>
      <c r="C259" s="156">
        <f>Indeks!H262</f>
        <v>155.10246972304918</v>
      </c>
      <c r="D259" s="133">
        <f t="shared" si="36"/>
        <v>1.2728179958810865E-4</v>
      </c>
      <c r="E259" s="133"/>
      <c r="F259" s="133"/>
      <c r="G259" s="133"/>
      <c r="H259" s="133"/>
    </row>
    <row r="260" spans="1:8" x14ac:dyDescent="0.2">
      <c r="A260" s="12">
        <f t="shared" si="37"/>
        <v>2026</v>
      </c>
      <c r="B260" s="13" t="s">
        <v>13</v>
      </c>
      <c r="C260" s="157">
        <f>Indeks!H263</f>
        <v>155.12222947640058</v>
      </c>
      <c r="D260" s="159">
        <f t="shared" si="36"/>
        <v>1.2739805746921526E-4</v>
      </c>
      <c r="E260" s="159">
        <f>(SUM(C258:C260)-SUM(C255:C257))/SUM(C255:C257)</f>
        <v>6.328497189940511E-3</v>
      </c>
      <c r="F260" s="159">
        <f>(SUM(C255:C260)-SUM(C249:C254))/SUM(C249:C254)</f>
        <v>1.2771598864924226E-2</v>
      </c>
      <c r="G260" s="159"/>
      <c r="H260" s="159"/>
    </row>
    <row r="261" spans="1:8" x14ac:dyDescent="0.2">
      <c r="A261" s="17">
        <f t="shared" si="37"/>
        <v>2026</v>
      </c>
      <c r="B261" s="22" t="s">
        <v>30</v>
      </c>
      <c r="C261" s="158">
        <f>Indeks!H264</f>
        <v>156.06726920299832</v>
      </c>
      <c r="D261" s="160">
        <f t="shared" si="36"/>
        <v>6.092226303010392E-3</v>
      </c>
      <c r="E261" s="160"/>
      <c r="F261" s="160"/>
      <c r="G261" s="160"/>
      <c r="H261" s="133"/>
    </row>
    <row r="262" spans="1:8" x14ac:dyDescent="0.2">
      <c r="A262" s="10">
        <f t="shared" si="37"/>
        <v>2026</v>
      </c>
      <c r="B262" t="s">
        <v>14</v>
      </c>
      <c r="C262" s="156">
        <f>Indeks!H265</f>
        <v>156.08707011654522</v>
      </c>
      <c r="D262" s="133">
        <f t="shared" si="36"/>
        <v>1.268742231988881E-4</v>
      </c>
      <c r="E262" s="133"/>
      <c r="F262" s="133"/>
      <c r="G262" s="133"/>
      <c r="H262" s="133"/>
    </row>
    <row r="263" spans="1:8" x14ac:dyDescent="0.2">
      <c r="A263" s="12">
        <f t="shared" si="37"/>
        <v>2026</v>
      </c>
      <c r="B263" s="13" t="s">
        <v>15</v>
      </c>
      <c r="C263" s="157">
        <f>Indeks!H266</f>
        <v>156.10689164601948</v>
      </c>
      <c r="D263" s="159">
        <f t="shared" si="36"/>
        <v>1.2699020783372156E-4</v>
      </c>
      <c r="E263" s="159">
        <f>(SUM(C261:C263)-SUM(C258:C260))/SUM(C258:C260)</f>
        <v>6.3480638035539987E-3</v>
      </c>
      <c r="F263" s="159"/>
      <c r="G263" s="159"/>
      <c r="H263" s="159"/>
    </row>
    <row r="264" spans="1:8" x14ac:dyDescent="0.2">
      <c r="A264" s="17">
        <f t="shared" si="37"/>
        <v>2026</v>
      </c>
      <c r="B264" s="18" t="s">
        <v>16</v>
      </c>
      <c r="C264" s="158">
        <f>Indeks!H267</f>
        <v>157.06110477380943</v>
      </c>
      <c r="D264" s="133">
        <f t="shared" si="36"/>
        <v>6.1125624738828559E-3</v>
      </c>
      <c r="E264" s="160"/>
      <c r="F264" s="160"/>
      <c r="G264" s="160"/>
      <c r="H264" s="133"/>
    </row>
    <row r="265" spans="1:8" x14ac:dyDescent="0.2">
      <c r="A265" s="10">
        <f t="shared" si="37"/>
        <v>2026</v>
      </c>
      <c r="B265" t="s">
        <v>17</v>
      </c>
      <c r="C265" s="156">
        <f>Indeks!H268</f>
        <v>157.08096760694335</v>
      </c>
      <c r="D265" s="133">
        <f t="shared" si="36"/>
        <v>1.2646563999736929E-4</v>
      </c>
      <c r="E265" s="133"/>
      <c r="F265" s="133"/>
      <c r="G265" s="133"/>
      <c r="H265" s="133"/>
    </row>
    <row r="266" spans="1:8" ht="13.5" thickBot="1" x14ac:dyDescent="0.25">
      <c r="A266" s="30">
        <f t="shared" si="37"/>
        <v>2026</v>
      </c>
      <c r="B266" s="31" t="s">
        <v>18</v>
      </c>
      <c r="C266" s="249">
        <f>Indeks!H269</f>
        <v>157.10085112786817</v>
      </c>
      <c r="D266" s="250">
        <f t="shared" si="36"/>
        <v>1.265813499097818E-4</v>
      </c>
      <c r="E266" s="251">
        <f>(SUM(C264:C266)-SUM(C261:C263))/SUM(C261:C263)</f>
        <v>6.3675836176095247E-3</v>
      </c>
      <c r="F266" s="251">
        <f>(SUM(C261:C266)-SUM(C255:C260))/SUM(C255:C260)</f>
        <v>1.2736464008691547E-2</v>
      </c>
      <c r="G266" s="251">
        <f>(SUM(C255:C266)-SUM(C243:C254))/SUM(C243:C254)</f>
        <v>1.799050513015971E-2</v>
      </c>
      <c r="H266" s="252">
        <f>(C255+C256+C257+C258+C259+C260+C261+C262+C263+C264+C265+C266)/12</f>
        <v>155.59940295431878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topLeftCell="A6" zoomScaleNormal="100" workbookViewId="0">
      <selection activeCell="E245" sqref="E245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103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101.25" x14ac:dyDescent="0.2">
      <c r="A5" s="112" t="s">
        <v>3</v>
      </c>
      <c r="B5" s="141" t="s">
        <v>128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199" t="s">
        <v>75</v>
      </c>
      <c r="B6" s="332" t="s">
        <v>129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332"/>
      <c r="D7" s="6"/>
      <c r="E7" s="61"/>
      <c r="F7" s="61"/>
    </row>
    <row r="8" spans="1:6" ht="66" customHeight="1" x14ac:dyDescent="0.2">
      <c r="A8" s="112"/>
      <c r="B8" s="216" t="s">
        <v>108</v>
      </c>
      <c r="D8" s="6"/>
      <c r="E8" s="61"/>
      <c r="F8" s="61"/>
    </row>
    <row r="9" spans="1:6" ht="66" customHeight="1" x14ac:dyDescent="0.2">
      <c r="A9" s="112"/>
      <c r="B9" s="333" t="s">
        <v>109</v>
      </c>
      <c r="C9" s="333"/>
      <c r="D9" s="333"/>
      <c r="E9" s="333"/>
      <c r="F9" s="61"/>
    </row>
    <row r="10" spans="1:6" ht="25.5" x14ac:dyDescent="0.2">
      <c r="A10" s="112" t="s">
        <v>5</v>
      </c>
      <c r="B10" s="141" t="s">
        <v>71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68" t="s">
        <v>72</v>
      </c>
      <c r="D11" s="6"/>
      <c r="E11" s="61"/>
      <c r="F11" s="61"/>
    </row>
    <row r="12" spans="1:6" ht="127.5" x14ac:dyDescent="0.2">
      <c r="A12" s="112" t="s">
        <v>6</v>
      </c>
      <c r="B12" s="141" t="s">
        <v>130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120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119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5"/>
      <c r="Z26" s="175"/>
    </row>
    <row r="27" spans="17:26" x14ac:dyDescent="0.2">
      <c r="Y27" s="175"/>
      <c r="Z27" s="175"/>
    </row>
    <row r="32" spans="17:26" x14ac:dyDescent="0.2">
      <c r="Q32" s="186"/>
      <c r="S32" s="181"/>
    </row>
    <row r="33" spans="2:19" x14ac:dyDescent="0.2">
      <c r="R33" s="181"/>
      <c r="S33" s="181"/>
    </row>
    <row r="34" spans="2:19" x14ac:dyDescent="0.2">
      <c r="R34" s="181"/>
      <c r="S34" s="187"/>
    </row>
    <row r="35" spans="2:19" x14ac:dyDescent="0.2">
      <c r="R35" s="181"/>
      <c r="S35" s="181"/>
    </row>
    <row r="36" spans="2:19" x14ac:dyDescent="0.2">
      <c r="R36" s="181"/>
      <c r="S36" s="181"/>
    </row>
    <row r="37" spans="2:19" x14ac:dyDescent="0.2">
      <c r="S37" s="181"/>
    </row>
    <row r="38" spans="2:19" x14ac:dyDescent="0.2">
      <c r="S38" s="181"/>
    </row>
    <row r="39" spans="2:19" x14ac:dyDescent="0.2">
      <c r="O39" s="172"/>
    </row>
    <row r="40" spans="2:19" x14ac:dyDescent="0.2">
      <c r="O40" s="172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9"/>
  <sheetViews>
    <sheetView view="pageBreakPreview" topLeftCell="A106" zoomScale="118" zoomScaleNormal="100" zoomScaleSheetLayoutView="118" workbookViewId="0">
      <selection activeCell="E245" sqref="E245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36" t="s">
        <v>104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1:14" ht="13.5" thickBot="1" x14ac:dyDescent="0.25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x14ac:dyDescent="0.2">
      <c r="A3" s="200" t="s">
        <v>102</v>
      </c>
      <c r="B3" s="48"/>
      <c r="C3" s="49"/>
      <c r="D3" s="49"/>
      <c r="E3" s="49"/>
      <c r="F3" s="49"/>
      <c r="G3" s="142" t="s">
        <v>78</v>
      </c>
      <c r="H3" s="114"/>
      <c r="I3" s="142"/>
      <c r="J3" s="114"/>
      <c r="K3" s="142"/>
      <c r="L3" s="49"/>
      <c r="M3" s="49"/>
      <c r="N3" s="189"/>
    </row>
    <row r="4" spans="1:14" ht="15" x14ac:dyDescent="0.25">
      <c r="A4" s="190" t="s">
        <v>79</v>
      </c>
      <c r="G4" s="191" t="s">
        <v>111</v>
      </c>
      <c r="N4" s="192"/>
    </row>
    <row r="5" spans="1:14" x14ac:dyDescent="0.2">
      <c r="A5" s="208" t="s">
        <v>80</v>
      </c>
      <c r="B5" s="207" t="s">
        <v>4</v>
      </c>
      <c r="C5" s="207" t="s">
        <v>75</v>
      </c>
      <c r="D5" s="207" t="s">
        <v>81</v>
      </c>
      <c r="G5" s="227" t="s">
        <v>82</v>
      </c>
      <c r="H5" s="225" t="s">
        <v>3</v>
      </c>
      <c r="I5" s="225" t="s">
        <v>4</v>
      </c>
      <c r="J5" s="211" t="s">
        <v>83</v>
      </c>
      <c r="K5" s="225" t="s">
        <v>6</v>
      </c>
      <c r="L5" s="226" t="s">
        <v>7</v>
      </c>
      <c r="M5" s="226" t="s">
        <v>0</v>
      </c>
      <c r="N5" s="192"/>
    </row>
    <row r="6" spans="1:14" x14ac:dyDescent="0.2">
      <c r="A6" s="193" t="s">
        <v>84</v>
      </c>
      <c r="B6">
        <v>3.69</v>
      </c>
      <c r="C6">
        <v>8.1999999999999993</v>
      </c>
      <c r="G6" s="178" t="s">
        <v>28</v>
      </c>
      <c r="H6" s="212">
        <v>0.6</v>
      </c>
      <c r="I6" s="212">
        <v>0.17</v>
      </c>
      <c r="J6" s="212">
        <v>0.08</v>
      </c>
      <c r="K6" s="212">
        <v>0.09</v>
      </c>
      <c r="L6" s="179">
        <v>0.06</v>
      </c>
      <c r="M6" s="179"/>
      <c r="N6" s="192"/>
    </row>
    <row r="7" spans="1:14" x14ac:dyDescent="0.2">
      <c r="A7" s="193" t="s">
        <v>85</v>
      </c>
      <c r="B7" s="21">
        <f>B6*0.25</f>
        <v>0.92249999999999999</v>
      </c>
      <c r="C7" s="21">
        <f>C6*0.25</f>
        <v>2.0499999999999998</v>
      </c>
      <c r="G7" s="180" t="s">
        <v>86</v>
      </c>
      <c r="H7" s="178">
        <f>+Indeks!C40</f>
        <v>108.6</v>
      </c>
      <c r="I7" s="178">
        <f>+Indeks!D40</f>
        <v>142.80000000000001</v>
      </c>
      <c r="J7" s="178">
        <f>+Indeks!E40</f>
        <v>115.5</v>
      </c>
      <c r="K7" s="178">
        <f>+Indeks!F40</f>
        <v>97.1</v>
      </c>
      <c r="L7" s="178">
        <f>+Indeks!G40</f>
        <v>4.7699999999999996</v>
      </c>
      <c r="M7" s="184">
        <v>100</v>
      </c>
      <c r="N7" s="192"/>
    </row>
    <row r="8" spans="1:14" x14ac:dyDescent="0.2">
      <c r="A8" s="193" t="s">
        <v>87</v>
      </c>
      <c r="B8">
        <v>2.7109999999999999</v>
      </c>
      <c r="C8" s="21">
        <f>C17*C18</f>
        <v>2.594592</v>
      </c>
      <c r="G8" s="180" t="s">
        <v>88</v>
      </c>
      <c r="H8" s="231">
        <v>134.24229</v>
      </c>
      <c r="I8" s="229">
        <v>146.1404208194906</v>
      </c>
      <c r="J8" s="232">
        <v>132.96893787575152</v>
      </c>
      <c r="K8" s="231">
        <v>103.68702807357212</v>
      </c>
      <c r="L8" s="231">
        <v>0.61</v>
      </c>
      <c r="M8" s="229">
        <v>111.15248364784418</v>
      </c>
      <c r="N8" s="192"/>
    </row>
    <row r="9" spans="1:14" x14ac:dyDescent="0.2">
      <c r="A9" s="193" t="s">
        <v>89</v>
      </c>
      <c r="B9">
        <v>0.43</v>
      </c>
      <c r="G9" s="182" t="s">
        <v>90</v>
      </c>
      <c r="H9" s="183">
        <f>+(H8/H7*H6)/$M$8*100</f>
        <v>0.66725464529161005</v>
      </c>
      <c r="I9" s="183">
        <f>+(I8/I7*I6)/$M$8*100</f>
        <v>0.1565207413655024</v>
      </c>
      <c r="J9" s="183">
        <f>+(J8/J7*J6)/$M$8*100</f>
        <v>8.2858874770401103E-2</v>
      </c>
      <c r="K9" s="183">
        <f>+(K8/K7*K6)/$M$8*100</f>
        <v>8.6462648580226426E-2</v>
      </c>
      <c r="L9" s="230">
        <f>+(L8/L7*L6)/$M$8*100</f>
        <v>6.9030899922600027E-3</v>
      </c>
      <c r="M9" s="188">
        <v>1</v>
      </c>
      <c r="N9" s="192"/>
    </row>
    <row r="10" spans="1:14" x14ac:dyDescent="0.2">
      <c r="A10" s="193" t="s">
        <v>91</v>
      </c>
      <c r="B10">
        <v>8.9999999999999993E-3</v>
      </c>
      <c r="G10" s="228" t="s">
        <v>92</v>
      </c>
      <c r="H10" s="225" t="s">
        <v>3</v>
      </c>
      <c r="I10" s="225" t="s">
        <v>75</v>
      </c>
      <c r="J10" s="211" t="s">
        <v>83</v>
      </c>
      <c r="K10" s="225" t="s">
        <v>6</v>
      </c>
      <c r="L10" s="226" t="s">
        <v>7</v>
      </c>
      <c r="M10" s="220"/>
      <c r="N10" s="192"/>
    </row>
    <row r="11" spans="1:14" x14ac:dyDescent="0.2">
      <c r="A11" s="193" t="s">
        <v>93</v>
      </c>
      <c r="B11">
        <f>SUM(B6:B10)</f>
        <v>7.7624999999999993</v>
      </c>
      <c r="C11" s="21">
        <f>SUM(C6:C10)</f>
        <v>12.844592</v>
      </c>
      <c r="G11" s="184" t="s">
        <v>28</v>
      </c>
      <c r="H11" s="236">
        <v>0.6</v>
      </c>
      <c r="I11" s="236">
        <v>0.17</v>
      </c>
      <c r="J11" s="236">
        <v>0.08</v>
      </c>
      <c r="K11" s="236">
        <v>0.09</v>
      </c>
      <c r="L11" s="236">
        <v>0.06</v>
      </c>
      <c r="M11" s="235"/>
      <c r="N11" s="192"/>
    </row>
    <row r="12" spans="1:14" x14ac:dyDescent="0.2">
      <c r="A12" s="193" t="s">
        <v>94</v>
      </c>
      <c r="B12">
        <v>1</v>
      </c>
      <c r="C12" s="21">
        <v>0.96</v>
      </c>
      <c r="G12" s="180" t="s">
        <v>86</v>
      </c>
      <c r="H12" s="180">
        <f>+H7</f>
        <v>108.6</v>
      </c>
      <c r="I12" s="231">
        <f>+I7</f>
        <v>142.80000000000001</v>
      </c>
      <c r="J12" s="180">
        <f>+J7</f>
        <v>115.5</v>
      </c>
      <c r="K12" s="180">
        <f>+K7</f>
        <v>97.1</v>
      </c>
      <c r="L12" s="231">
        <f>+L7</f>
        <v>4.7699999999999996</v>
      </c>
      <c r="M12" s="185">
        <v>100</v>
      </c>
      <c r="N12" s="192"/>
    </row>
    <row r="13" spans="1:14" ht="15" x14ac:dyDescent="0.25">
      <c r="A13" s="193" t="s">
        <v>95</v>
      </c>
      <c r="B13" s="194">
        <f>B11/B12</f>
        <v>7.7624999999999993</v>
      </c>
      <c r="C13" s="194">
        <f>C11/C12</f>
        <v>13.379783333333334</v>
      </c>
      <c r="D13" s="195">
        <f>+C13/B13-1</f>
        <v>0.7236435856146004</v>
      </c>
      <c r="G13" s="180" t="s">
        <v>88</v>
      </c>
      <c r="H13" s="231">
        <f>+H8</f>
        <v>134.24229</v>
      </c>
      <c r="I13" s="234">
        <f>+C13/B13*I8</f>
        <v>251.89399894453337</v>
      </c>
      <c r="J13" s="231">
        <f>+J8</f>
        <v>132.96893787575152</v>
      </c>
      <c r="K13" s="231">
        <f>+K8</f>
        <v>103.68702807357212</v>
      </c>
      <c r="L13" s="231">
        <f>+L8</f>
        <v>0.61</v>
      </c>
      <c r="M13" s="229">
        <f>+Indeks!H163</f>
        <v>123.74219532939689</v>
      </c>
      <c r="N13" s="192"/>
    </row>
    <row r="14" spans="1:14" x14ac:dyDescent="0.2">
      <c r="A14" s="193" t="s">
        <v>97</v>
      </c>
      <c r="C14" s="21">
        <f>C13-B13</f>
        <v>5.6172833333333347</v>
      </c>
      <c r="G14" s="182" t="s">
        <v>90</v>
      </c>
      <c r="H14" s="233">
        <f>+(H13/H12*H11)/$M$13*100</f>
        <v>0.59936718313663395</v>
      </c>
      <c r="I14" s="233">
        <f>+(I13/I12*I11)/$M$13*100</f>
        <v>0.24233755306267946</v>
      </c>
      <c r="J14" s="233">
        <f>+(J13/J12*J11)/$M$13*100</f>
        <v>7.4428691833688568E-2</v>
      </c>
      <c r="K14" s="233">
        <f>+(K13/K12*K11)/$M$13*100</f>
        <v>7.7665812432695561E-2</v>
      </c>
      <c r="L14" s="233">
        <f>+(L13/L12*L11)/$M$13*100</f>
        <v>6.2007595343024731E-3</v>
      </c>
      <c r="M14" s="214">
        <f>H14+I14+J14+K14+L14</f>
        <v>1</v>
      </c>
      <c r="N14" s="192"/>
    </row>
    <row r="15" spans="1:14" x14ac:dyDescent="0.2">
      <c r="A15" s="193" t="s">
        <v>98</v>
      </c>
      <c r="C15" s="21"/>
      <c r="N15" s="192"/>
    </row>
    <row r="16" spans="1:14" ht="13.15" customHeight="1" x14ac:dyDescent="0.2">
      <c r="A16" s="193" t="s">
        <v>99</v>
      </c>
      <c r="C16" s="21"/>
      <c r="G16" s="337" t="s">
        <v>96</v>
      </c>
      <c r="H16" s="337"/>
      <c r="I16" s="337"/>
      <c r="J16" s="337"/>
      <c r="K16" s="337"/>
      <c r="L16" s="337"/>
      <c r="M16" s="337"/>
      <c r="N16" s="192"/>
    </row>
    <row r="17" spans="1:16" x14ac:dyDescent="0.2">
      <c r="A17" s="193" t="s">
        <v>100</v>
      </c>
      <c r="C17">
        <v>34.32</v>
      </c>
      <c r="G17" s="337"/>
      <c r="H17" s="337"/>
      <c r="I17" s="337"/>
      <c r="J17" s="337"/>
      <c r="K17" s="337"/>
      <c r="L17" s="337"/>
      <c r="M17" s="337"/>
      <c r="N17" s="192"/>
    </row>
    <row r="18" spans="1:16" ht="13.5" thickBot="1" x14ac:dyDescent="0.25">
      <c r="A18" s="196" t="s">
        <v>101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7"/>
      <c r="L18" s="31"/>
      <c r="M18" s="197"/>
      <c r="N18" s="198"/>
    </row>
    <row r="20" spans="1:16" x14ac:dyDescent="0.2">
      <c r="L20" s="114"/>
      <c r="M20" s="142"/>
      <c r="N20" s="215"/>
      <c r="O20" s="165"/>
      <c r="P20" s="165"/>
    </row>
    <row r="21" spans="1:16" hidden="1" x14ac:dyDescent="0.2">
      <c r="A21" s="218"/>
      <c r="B21" s="334" t="s">
        <v>74</v>
      </c>
      <c r="C21" s="334" t="s">
        <v>77</v>
      </c>
      <c r="D21" s="219"/>
      <c r="E21" s="219"/>
      <c r="F21" s="219"/>
      <c r="G21" s="219"/>
      <c r="H21" s="220"/>
    </row>
    <row r="22" spans="1:16" hidden="1" x14ac:dyDescent="0.2">
      <c r="A22" s="221">
        <v>2018</v>
      </c>
      <c r="B22" s="335"/>
      <c r="C22" s="335"/>
      <c r="D22" s="224"/>
      <c r="E22" s="224"/>
      <c r="F22" s="224"/>
      <c r="G22" s="222" t="s">
        <v>110</v>
      </c>
      <c r="H22" s="223" t="s">
        <v>107</v>
      </c>
    </row>
    <row r="23" spans="1:16" hidden="1" x14ac:dyDescent="0.2">
      <c r="A23" s="237" t="s">
        <v>105</v>
      </c>
      <c r="B23">
        <v>120.4</v>
      </c>
      <c r="C23" s="174">
        <f>+((B23/$B$24)*Indeks!$D$163)*(H23/$H$24)</f>
        <v>259.86139518637037</v>
      </c>
      <c r="D23" s="171"/>
      <c r="E23" s="116"/>
      <c r="G23" s="238">
        <v>43024</v>
      </c>
      <c r="H23" s="239">
        <v>77.63</v>
      </c>
    </row>
    <row r="24" spans="1:16" hidden="1" x14ac:dyDescent="0.2">
      <c r="A24" s="240" t="s">
        <v>106</v>
      </c>
      <c r="B24">
        <v>121.4</v>
      </c>
      <c r="C24" s="171" t="s">
        <v>76</v>
      </c>
      <c r="D24" s="171"/>
      <c r="E24" s="171"/>
      <c r="G24" s="238">
        <v>43054</v>
      </c>
      <c r="H24" s="239">
        <v>74.63</v>
      </c>
    </row>
    <row r="25" spans="1:16" hidden="1" x14ac:dyDescent="0.2">
      <c r="A25" s="237" t="s">
        <v>10</v>
      </c>
      <c r="B25">
        <v>124.8</v>
      </c>
      <c r="C25" s="174">
        <f>+((B25/$B$24)*Indeks!$D$163)*(H25/$H$24)</f>
        <v>259.36506284973615</v>
      </c>
      <c r="G25" s="238">
        <v>43084</v>
      </c>
      <c r="H25" s="239">
        <v>74.75</v>
      </c>
    </row>
    <row r="26" spans="1:16" hidden="1" x14ac:dyDescent="0.2">
      <c r="A26" s="240" t="s">
        <v>11</v>
      </c>
      <c r="B26">
        <v>122.4</v>
      </c>
      <c r="C26" s="174">
        <f>+((B26/$B$24)*Indeks!$D$163)*(H26/$H$24)</f>
        <v>257.81434402786124</v>
      </c>
      <c r="G26" s="238">
        <v>43115</v>
      </c>
      <c r="H26" s="239">
        <v>75.760000000000005</v>
      </c>
    </row>
    <row r="27" spans="1:16" hidden="1" x14ac:dyDescent="0.2">
      <c r="A27" s="237" t="s">
        <v>12</v>
      </c>
      <c r="B27">
        <v>122.7</v>
      </c>
      <c r="C27" s="174">
        <f>+((B27/$B$24)*Indeks!$D$163)*(H27/$H$24)</f>
        <v>256.22884413086132</v>
      </c>
      <c r="G27" s="238">
        <v>43146</v>
      </c>
      <c r="H27" s="239">
        <v>75.11</v>
      </c>
    </row>
    <row r="28" spans="1:16" hidden="1" x14ac:dyDescent="0.2">
      <c r="A28" s="240" t="s">
        <v>13</v>
      </c>
      <c r="B28">
        <v>128.6</v>
      </c>
      <c r="C28" s="174">
        <f>+((B28/$B$24)*Indeks!$D$163)*(H28/$H$24)</f>
        <v>263.82999648571183</v>
      </c>
      <c r="G28" s="238">
        <v>43174</v>
      </c>
      <c r="H28" s="239">
        <v>73.790000000000006</v>
      </c>
    </row>
    <row r="29" spans="1:16" hidden="1" x14ac:dyDescent="0.2">
      <c r="A29" s="237" t="s">
        <v>30</v>
      </c>
      <c r="B29">
        <v>133.69999999999999</v>
      </c>
      <c r="C29" s="174">
        <f>+((B29/$B$24)*Indeks!$D$163)*(H29/$H$24)</f>
        <v>266.07789375669279</v>
      </c>
      <c r="G29" s="238">
        <v>43206</v>
      </c>
      <c r="H29" s="239">
        <v>71.58</v>
      </c>
    </row>
    <row r="30" spans="1:16" hidden="1" x14ac:dyDescent="0.2">
      <c r="A30" s="237" t="s">
        <v>14</v>
      </c>
      <c r="B30" s="11">
        <v>133</v>
      </c>
      <c r="C30">
        <f>+((B30/$B$24)*Indeks!$D$163)*(H30/$H$24)</f>
        <v>267.60603685274725</v>
      </c>
      <c r="G30" s="238">
        <v>43235</v>
      </c>
      <c r="H30" s="239">
        <v>72.37</v>
      </c>
    </row>
    <row r="31" spans="1:16" hidden="1" x14ac:dyDescent="0.2">
      <c r="A31" s="240" t="s">
        <v>15</v>
      </c>
      <c r="B31">
        <v>139.19999999999999</v>
      </c>
      <c r="C31" s="243">
        <f>+((B31/$B$24)*Indeks!$D$163)*(H31/$H$24)</f>
        <v>283.48661423131045</v>
      </c>
      <c r="G31" s="238">
        <v>43266</v>
      </c>
      <c r="H31" s="239">
        <v>73.25</v>
      </c>
    </row>
    <row r="32" spans="1:16" hidden="1" x14ac:dyDescent="0.2">
      <c r="A32" s="240" t="s">
        <v>16</v>
      </c>
      <c r="B32">
        <v>141.5</v>
      </c>
      <c r="C32" s="243">
        <f>+((B32/$B$24)*Indeks!$D$163)*(H32/$H$24)</f>
        <v>283.80384210275332</v>
      </c>
      <c r="G32" s="238">
        <v>43297</v>
      </c>
      <c r="H32" s="239">
        <v>72.14</v>
      </c>
    </row>
    <row r="33" spans="1:8" hidden="1" x14ac:dyDescent="0.2">
      <c r="A33" s="240" t="s">
        <v>17</v>
      </c>
      <c r="B33">
        <v>144.1</v>
      </c>
      <c r="C33" s="243">
        <f>+((B33/$B$24)*Indeks!$D$163)*(H33/$H$24)</f>
        <v>287.1756880092247</v>
      </c>
      <c r="G33" s="238">
        <v>43327</v>
      </c>
      <c r="H33" s="239">
        <v>71.680000000000007</v>
      </c>
    </row>
    <row r="34" spans="1:8" hidden="1" x14ac:dyDescent="0.2">
      <c r="A34" s="241" t="s">
        <v>18</v>
      </c>
      <c r="B34" s="13">
        <v>148.4</v>
      </c>
      <c r="C34" s="245">
        <f>+((B34/$B$24)*Indeks!$D$163)*(H34/$H$24)</f>
        <v>291.82550905493702</v>
      </c>
      <c r="D34" s="13"/>
      <c r="E34" s="13"/>
      <c r="F34" s="13"/>
      <c r="G34" s="244">
        <v>43357</v>
      </c>
      <c r="H34" s="242">
        <v>70.73</v>
      </c>
    </row>
    <row r="36" spans="1:8" ht="12.75" hidden="1" customHeight="1" x14ac:dyDescent="0.2">
      <c r="A36" s="218"/>
      <c r="B36" s="334" t="s">
        <v>74</v>
      </c>
      <c r="C36" s="334" t="s">
        <v>77</v>
      </c>
      <c r="D36" s="219"/>
      <c r="E36" s="219"/>
      <c r="F36" s="219"/>
      <c r="G36" s="219"/>
      <c r="H36" s="220"/>
    </row>
    <row r="37" spans="1:8" hidden="1" x14ac:dyDescent="0.2">
      <c r="A37" s="221">
        <v>2019</v>
      </c>
      <c r="B37" s="335"/>
      <c r="C37" s="335"/>
      <c r="D37" s="224"/>
      <c r="E37" s="224"/>
      <c r="F37" s="224"/>
      <c r="G37" s="222" t="s">
        <v>110</v>
      </c>
      <c r="H37" s="223" t="s">
        <v>107</v>
      </c>
    </row>
    <row r="38" spans="1:8" hidden="1" x14ac:dyDescent="0.2">
      <c r="A38" s="237" t="s">
        <v>105</v>
      </c>
      <c r="B38" s="11">
        <v>146</v>
      </c>
      <c r="C38" s="174">
        <f>+((B38/$B$24)*Indeks!$D$163)*(H38/$H$24)</f>
        <v>291.40869220579856</v>
      </c>
      <c r="D38" s="171"/>
      <c r="E38" s="116"/>
      <c r="G38" s="238">
        <v>43388</v>
      </c>
      <c r="H38" s="239">
        <v>71.790000000000006</v>
      </c>
    </row>
    <row r="39" spans="1:8" hidden="1" x14ac:dyDescent="0.2">
      <c r="A39" s="240" t="s">
        <v>106</v>
      </c>
      <c r="B39">
        <v>138.1</v>
      </c>
      <c r="C39" s="174">
        <f>+((B39/$B$24)*Indeks!$D$163)*(H39/$H$24)</f>
        <v>279.36504292770275</v>
      </c>
      <c r="D39" s="171"/>
      <c r="E39" s="171"/>
      <c r="G39" s="238">
        <v>43419</v>
      </c>
      <c r="H39" s="239">
        <v>72.760000000000005</v>
      </c>
    </row>
    <row r="40" spans="1:8" hidden="1" x14ac:dyDescent="0.2">
      <c r="A40" s="237" t="s">
        <v>10</v>
      </c>
      <c r="B40" s="11">
        <v>136</v>
      </c>
      <c r="C40" s="174">
        <f>+((B40/$B$24)*Indeks!$D$163)*(H40/$H$24)</f>
        <v>275.1169141069339</v>
      </c>
      <c r="G40" s="238">
        <v>43448</v>
      </c>
      <c r="H40" s="239">
        <v>72.760000000000005</v>
      </c>
    </row>
    <row r="41" spans="1:8" hidden="1" x14ac:dyDescent="0.2">
      <c r="A41" s="240" t="s">
        <v>11</v>
      </c>
      <c r="B41" s="11">
        <v>140.5</v>
      </c>
      <c r="C41" s="174">
        <f>+((B41/$B$24)*Indeks!$D$163)*(H41/$H$24)</f>
        <v>284.72786211216618</v>
      </c>
      <c r="G41" s="246" t="s">
        <v>115</v>
      </c>
      <c r="H41" s="239">
        <v>72.89</v>
      </c>
    </row>
    <row r="42" spans="1:8" hidden="1" x14ac:dyDescent="0.2">
      <c r="A42" s="237" t="s">
        <v>12</v>
      </c>
      <c r="B42" s="11">
        <v>143</v>
      </c>
      <c r="C42" s="174">
        <f>+((B42/$B$24)*Indeks!$D$163)*(H42/$H$24)</f>
        <v>283.03537774108116</v>
      </c>
      <c r="G42" s="238">
        <v>43511</v>
      </c>
      <c r="H42" s="239">
        <v>71.19</v>
      </c>
    </row>
    <row r="43" spans="1:8" hidden="1" x14ac:dyDescent="0.2">
      <c r="A43" s="240" t="s">
        <v>13</v>
      </c>
      <c r="B43" s="11">
        <v>144.9</v>
      </c>
      <c r="C43" s="174">
        <f>+((B43/$B$24)*Indeks!$D$163)*(H43/$H$24)</f>
        <v>286.43341371371372</v>
      </c>
      <c r="G43" s="238">
        <v>43539</v>
      </c>
      <c r="H43" s="248">
        <v>71.099999999999994</v>
      </c>
    </row>
    <row r="44" spans="1:8" hidden="1" x14ac:dyDescent="0.2">
      <c r="A44" s="237" t="s">
        <v>30</v>
      </c>
      <c r="B44" s="11">
        <v>147.69999999999999</v>
      </c>
      <c r="C44" s="174">
        <f>E46+((B44/$B$24)*Indeks!$D$163)*(H44/$H$24)</f>
        <v>292.99497057610245</v>
      </c>
      <c r="G44" s="238">
        <v>43570</v>
      </c>
      <c r="H44" s="239">
        <v>71.349999999999994</v>
      </c>
    </row>
    <row r="45" spans="1:8" hidden="1" x14ac:dyDescent="0.2">
      <c r="A45" s="237" t="s">
        <v>14</v>
      </c>
      <c r="B45" s="11">
        <v>142.19999999999999</v>
      </c>
      <c r="C45" s="174">
        <f>+((B45/$B$24)*Indeks!$D$163)*(H45/$H$24)</f>
        <v>274.21699896733173</v>
      </c>
      <c r="G45" s="247" t="s">
        <v>116</v>
      </c>
      <c r="H45" s="239">
        <v>69.36</v>
      </c>
    </row>
    <row r="46" spans="1:8" hidden="1" x14ac:dyDescent="0.2">
      <c r="A46" s="240" t="s">
        <v>15</v>
      </c>
      <c r="B46" s="11">
        <v>143.4</v>
      </c>
      <c r="C46" s="243">
        <f>+((B46/$B$24)*Indeks!$D$163)*(H46/$H$24)</f>
        <v>279.84018966941676</v>
      </c>
      <c r="G46" s="238">
        <v>43630</v>
      </c>
      <c r="H46" s="239">
        <v>70.19</v>
      </c>
    </row>
    <row r="47" spans="1:8" hidden="1" x14ac:dyDescent="0.2">
      <c r="A47" s="240" t="s">
        <v>16</v>
      </c>
      <c r="B47" s="11">
        <v>141.6</v>
      </c>
      <c r="C47" s="243">
        <f>+((B47/$B$24)*Indeks!$D$163)*(H47/$H$24)</f>
        <v>278.45345068853823</v>
      </c>
      <c r="G47" s="238">
        <v>43661</v>
      </c>
      <c r="H47" s="239">
        <v>70.73</v>
      </c>
    </row>
    <row r="48" spans="1:8" hidden="1" x14ac:dyDescent="0.2">
      <c r="A48" s="240" t="s">
        <v>17</v>
      </c>
      <c r="B48" s="11">
        <v>145.1</v>
      </c>
      <c r="C48" s="243">
        <f>+((B48/$B$24)*Indeks!$D$163)*(H48/$H$24)</f>
        <v>280.41445274432044</v>
      </c>
      <c r="G48" s="238">
        <v>43692</v>
      </c>
      <c r="H48" s="239">
        <v>69.510000000000005</v>
      </c>
    </row>
    <row r="49" spans="1:13" hidden="1" x14ac:dyDescent="0.2">
      <c r="A49" s="241" t="s">
        <v>18</v>
      </c>
      <c r="B49" s="13">
        <v>145.9</v>
      </c>
      <c r="C49" s="245">
        <f>+((B49/$B$24)*Indeks!$D$163)*(H49/$H$24)</f>
        <v>283.8670096508618</v>
      </c>
      <c r="D49" s="13"/>
      <c r="E49" s="13"/>
      <c r="F49" s="13"/>
      <c r="G49" s="244">
        <v>43724</v>
      </c>
      <c r="H49" s="242">
        <v>69.98</v>
      </c>
    </row>
    <row r="50" spans="1:13" hidden="1" x14ac:dyDescent="0.2"/>
    <row r="51" spans="1:13" hidden="1" x14ac:dyDescent="0.2">
      <c r="A51" s="218"/>
      <c r="B51" s="334" t="s">
        <v>74</v>
      </c>
      <c r="C51" s="334" t="s">
        <v>77</v>
      </c>
      <c r="D51" s="219"/>
      <c r="E51" s="219"/>
      <c r="F51" s="219"/>
      <c r="G51" s="219"/>
      <c r="H51" s="220"/>
    </row>
    <row r="52" spans="1:13" hidden="1" x14ac:dyDescent="0.2">
      <c r="A52" s="221">
        <v>2020</v>
      </c>
      <c r="B52" s="335"/>
      <c r="C52" s="335"/>
      <c r="D52" s="224"/>
      <c r="E52" s="224"/>
      <c r="F52" s="224"/>
      <c r="G52" s="222" t="s">
        <v>110</v>
      </c>
      <c r="H52" s="223" t="s">
        <v>107</v>
      </c>
    </row>
    <row r="53" spans="1:13" hidden="1" x14ac:dyDescent="0.2">
      <c r="A53" s="237" t="s">
        <v>105</v>
      </c>
      <c r="B53" s="11">
        <v>145.5</v>
      </c>
      <c r="C53" s="174">
        <f>+((B53/$B$24)*Indeks!$D$163)*(H53/$H$24)</f>
        <v>279.20528908464308</v>
      </c>
      <c r="D53" s="171"/>
      <c r="E53" s="116"/>
      <c r="G53" s="238">
        <v>43753</v>
      </c>
      <c r="H53" s="239">
        <v>69.02</v>
      </c>
    </row>
    <row r="54" spans="1:13" hidden="1" x14ac:dyDescent="0.2">
      <c r="A54" s="240" t="s">
        <v>106</v>
      </c>
      <c r="B54">
        <v>143.6</v>
      </c>
      <c r="C54" s="174">
        <f>+((B54/$B$24)*Indeks!$D$163)*(H54/$H$24)</f>
        <v>280.07078458315442</v>
      </c>
      <c r="D54" s="171"/>
      <c r="E54" s="171"/>
      <c r="G54" s="238">
        <v>43784</v>
      </c>
      <c r="H54" s="239">
        <v>70.150000000000006</v>
      </c>
    </row>
    <row r="55" spans="1:13" hidden="1" x14ac:dyDescent="0.2">
      <c r="A55" s="237" t="s">
        <v>10</v>
      </c>
      <c r="B55" s="11">
        <v>150</v>
      </c>
      <c r="C55" s="174">
        <f>+((B55/$B$24)*Indeks!$D$163)*(H55/$H$24)</f>
        <v>299.05886057619267</v>
      </c>
      <c r="G55" s="238">
        <v>43815</v>
      </c>
      <c r="H55" s="239">
        <v>71.709999999999994</v>
      </c>
    </row>
    <row r="56" spans="1:13" hidden="1" x14ac:dyDescent="0.2">
      <c r="A56" s="240" t="s">
        <v>11</v>
      </c>
      <c r="B56" s="11">
        <v>144.6</v>
      </c>
      <c r="C56" s="174">
        <f>+((B56/$B$24)*Indeks!$D$163)*(H56/$H$24)</f>
        <v>284.51369854566974</v>
      </c>
      <c r="G56" s="246" t="s">
        <v>117</v>
      </c>
      <c r="H56" s="239">
        <v>70.77</v>
      </c>
    </row>
    <row r="57" spans="1:13" hidden="1" x14ac:dyDescent="0.2">
      <c r="A57" s="237" t="s">
        <v>12</v>
      </c>
      <c r="B57" s="11">
        <v>137.30000000000001</v>
      </c>
      <c r="C57" s="174">
        <f>+((B57/$B$24)*Indeks!$D$163)*(H57/$H$24)</f>
        <v>271.40999104826017</v>
      </c>
      <c r="G57" s="238">
        <v>43875</v>
      </c>
      <c r="H57" s="248">
        <v>71.099999999999994</v>
      </c>
    </row>
    <row r="58" spans="1:13" hidden="1" x14ac:dyDescent="0.2">
      <c r="A58" s="240" t="s">
        <v>13</v>
      </c>
      <c r="B58" s="11">
        <v>130.30000000000001</v>
      </c>
      <c r="C58" s="174">
        <f>+((B58/$B$24)*Indeks!$D$163)*(H58/$H$24)</f>
        <v>248.37101800658405</v>
      </c>
      <c r="G58" s="238">
        <v>43906</v>
      </c>
      <c r="H58" s="248">
        <v>68.56</v>
      </c>
    </row>
    <row r="59" spans="1:13" hidden="1" x14ac:dyDescent="0.2">
      <c r="A59" s="237" t="s">
        <v>30</v>
      </c>
      <c r="B59" s="11">
        <v>126.6</v>
      </c>
      <c r="C59" s="174">
        <f>E61+((B59/$B$24)*Indeks!$D$163)*(H59/$H$24)</f>
        <v>240.29752697443806</v>
      </c>
      <c r="G59" s="238">
        <v>43936</v>
      </c>
      <c r="H59" s="239">
        <v>68.27</v>
      </c>
    </row>
    <row r="60" spans="1:13" hidden="1" x14ac:dyDescent="0.2">
      <c r="A60" s="237" t="s">
        <v>14</v>
      </c>
      <c r="B60" s="11">
        <v>129.30000000000001</v>
      </c>
      <c r="C60" s="174">
        <f>+((B60/$B$24)*Indeks!$D$163)*(H60/$H$24)</f>
        <v>251.2820077169963</v>
      </c>
      <c r="G60" s="247">
        <v>43966</v>
      </c>
      <c r="H60" s="248">
        <v>69.900000000000006</v>
      </c>
    </row>
    <row r="61" spans="1:13" hidden="1" x14ac:dyDescent="0.2">
      <c r="A61" s="240" t="s">
        <v>15</v>
      </c>
      <c r="B61">
        <v>132.80000000000001</v>
      </c>
      <c r="C61" s="243">
        <f>+((B61/$B$24)*Indeks!$D$163)*(H61/$H$24)</f>
        <v>261.18535585579235</v>
      </c>
      <c r="G61" s="238">
        <v>43997</v>
      </c>
      <c r="H61" s="239">
        <v>70.739999999999995</v>
      </c>
    </row>
    <row r="62" spans="1:13" hidden="1" x14ac:dyDescent="0.2">
      <c r="A62" s="240" t="s">
        <v>16</v>
      </c>
      <c r="B62">
        <v>130.6</v>
      </c>
      <c r="C62" s="243">
        <f>+((B62/$B$24)*Indeks!$D$163)*(H62/$H$24)</f>
        <v>261.32464697199993</v>
      </c>
      <c r="G62" s="238">
        <v>44027</v>
      </c>
      <c r="H62" s="239">
        <v>71.97</v>
      </c>
    </row>
    <row r="63" spans="1:13" hidden="1" x14ac:dyDescent="0.2">
      <c r="A63" s="240" t="s">
        <v>17</v>
      </c>
      <c r="B63" s="11">
        <v>129.9</v>
      </c>
      <c r="C63" s="243">
        <f>+((B63/$B$24)*Indeks!$D$163)*(H63/$H$24)</f>
        <v>261.29637170948837</v>
      </c>
      <c r="G63" s="238">
        <v>44057</v>
      </c>
      <c r="H63" s="239">
        <v>72.349999999999994</v>
      </c>
    </row>
    <row r="64" spans="1:13" hidden="1" x14ac:dyDescent="0.2">
      <c r="A64" s="241" t="s">
        <v>18</v>
      </c>
      <c r="B64" s="13">
        <v>129.4</v>
      </c>
      <c r="C64" s="245">
        <f>+((B64/$B$24)*Indeks!$D$163)*(H64/$H$24)</f>
        <v>257.26857863641322</v>
      </c>
      <c r="D64" s="13"/>
      <c r="E64" s="13"/>
      <c r="F64" s="13"/>
      <c r="G64" s="244">
        <v>44089</v>
      </c>
      <c r="H64" s="242">
        <v>71.510000000000005</v>
      </c>
      <c r="L64" s="265"/>
      <c r="M64" s="243"/>
    </row>
    <row r="65" spans="1:14" hidden="1" x14ac:dyDescent="0.2">
      <c r="L65" s="21"/>
    </row>
    <row r="66" spans="1:14" hidden="1" x14ac:dyDescent="0.2">
      <c r="A66" s="218"/>
      <c r="B66" s="334" t="s">
        <v>74</v>
      </c>
      <c r="C66" s="334" t="s">
        <v>77</v>
      </c>
      <c r="D66" s="219"/>
      <c r="E66" s="219"/>
      <c r="F66" s="219"/>
      <c r="G66" s="219"/>
      <c r="H66" s="220"/>
    </row>
    <row r="67" spans="1:14" hidden="1" x14ac:dyDescent="0.2">
      <c r="A67" s="221">
        <v>2021</v>
      </c>
      <c r="B67" s="335"/>
      <c r="C67" s="335"/>
      <c r="D67" s="224"/>
      <c r="E67" s="224"/>
      <c r="F67" s="224"/>
      <c r="G67" s="222" t="s">
        <v>110</v>
      </c>
      <c r="H67" s="223" t="s">
        <v>107</v>
      </c>
    </row>
    <row r="68" spans="1:14" hidden="1" x14ac:dyDescent="0.2">
      <c r="A68" s="237" t="s">
        <v>105</v>
      </c>
      <c r="B68" s="11">
        <v>130.1</v>
      </c>
      <c r="C68" s="174">
        <f>+((B68/$B$24)*Indeks!$D$163)*(H68/$H$24)</f>
        <v>259.41988961244294</v>
      </c>
      <c r="D68" s="171"/>
      <c r="E68" s="116"/>
      <c r="G68" s="238">
        <v>44119</v>
      </c>
      <c r="H68" s="239">
        <v>71.72</v>
      </c>
    </row>
    <row r="69" spans="1:14" hidden="1" x14ac:dyDescent="0.2">
      <c r="A69" s="240" t="s">
        <v>106</v>
      </c>
      <c r="B69">
        <v>133.6</v>
      </c>
      <c r="C69" s="174">
        <f>+((B69/$B$24)*Indeks!$D$163)*(H69/$H$24)</f>
        <v>269.81617816847665</v>
      </c>
      <c r="D69" s="171"/>
      <c r="E69" s="171"/>
      <c r="G69" s="238">
        <v>44151</v>
      </c>
      <c r="H69" s="239">
        <v>72.64</v>
      </c>
    </row>
    <row r="70" spans="1:14" hidden="1" x14ac:dyDescent="0.2">
      <c r="A70" s="237" t="s">
        <v>10</v>
      </c>
      <c r="B70" s="11">
        <v>138.69999999999999</v>
      </c>
      <c r="C70" s="174">
        <f>+((B70/$B$24)*Indeks!$D$163)*(H70/$H$24)</f>
        <v>281.58141202986536</v>
      </c>
      <c r="G70" s="238">
        <v>44180</v>
      </c>
      <c r="H70" s="239">
        <v>73.02</v>
      </c>
      <c r="N70" s="11"/>
    </row>
    <row r="71" spans="1:14" hidden="1" x14ac:dyDescent="0.2">
      <c r="A71" s="240" t="s">
        <v>11</v>
      </c>
      <c r="B71" s="11">
        <v>145.1</v>
      </c>
      <c r="C71" s="174">
        <f>+((B71/$B$24)*Indeks!$D$163)*(H71/$H$24)</f>
        <v>296.22835944490652</v>
      </c>
      <c r="G71" s="246" t="s">
        <v>118</v>
      </c>
      <c r="H71" s="239">
        <v>73.430000000000007</v>
      </c>
    </row>
    <row r="72" spans="1:14" hidden="1" x14ac:dyDescent="0.2">
      <c r="A72" s="237" t="s">
        <v>12</v>
      </c>
      <c r="B72" s="11">
        <v>149.80000000000001</v>
      </c>
      <c r="C72" s="174">
        <f>+((B72/$B$24)*Indeks!$D$163)*(H72/$H$24)</f>
        <v>308.36417440169055</v>
      </c>
      <c r="G72" s="238">
        <v>44242</v>
      </c>
      <c r="H72" s="248">
        <v>74.040000000000006</v>
      </c>
    </row>
    <row r="73" spans="1:14" hidden="1" x14ac:dyDescent="0.2">
      <c r="A73" s="240" t="s">
        <v>13</v>
      </c>
      <c r="B73" s="11">
        <v>148.69999999999999</v>
      </c>
      <c r="C73" s="174">
        <f>+((B73/$B$24)*Indeks!$D$163)*(H73/$H$24)</f>
        <v>301.84154120450944</v>
      </c>
      <c r="G73" s="238">
        <v>44270</v>
      </c>
      <c r="H73" s="248">
        <v>73.010000000000005</v>
      </c>
    </row>
    <row r="74" spans="1:14" hidden="1" x14ac:dyDescent="0.2">
      <c r="A74" s="237" t="s">
        <v>30</v>
      </c>
      <c r="B74" s="11">
        <v>150.5</v>
      </c>
      <c r="C74" s="174">
        <f>E76+((B74/$B$24)*Indeks!$D$163)*(H74/$H$24)</f>
        <v>307.21086620158627</v>
      </c>
      <c r="G74" s="238">
        <v>44301</v>
      </c>
      <c r="H74" s="239">
        <v>73.42</v>
      </c>
    </row>
    <row r="75" spans="1:14" hidden="1" x14ac:dyDescent="0.2">
      <c r="A75" s="237" t="s">
        <v>14</v>
      </c>
      <c r="B75" s="11">
        <v>151.9</v>
      </c>
      <c r="C75" s="174">
        <f>+((B75/$B$24)*Indeks!$D$163)*(H75/$H$24)</f>
        <v>309.26623034287911</v>
      </c>
      <c r="G75" s="247">
        <v>44333</v>
      </c>
      <c r="H75" s="248">
        <v>73.23</v>
      </c>
    </row>
    <row r="76" spans="1:14" hidden="1" x14ac:dyDescent="0.2">
      <c r="A76" s="240" t="s">
        <v>15</v>
      </c>
      <c r="B76" s="11">
        <v>155.69999999999999</v>
      </c>
      <c r="C76" s="243">
        <f>+((B76/$B$24)*Indeks!$D$163)*(H76/$H$24)</f>
        <v>319.16740987747085</v>
      </c>
      <c r="G76" s="238">
        <v>44362</v>
      </c>
      <c r="H76" s="239">
        <v>73.73</v>
      </c>
    </row>
    <row r="77" spans="1:14" hidden="1" x14ac:dyDescent="0.2">
      <c r="A77" s="240" t="s">
        <v>16</v>
      </c>
      <c r="B77" s="11">
        <v>154.30000000000001</v>
      </c>
      <c r="C77" s="243">
        <f>+((B77/$B$24)*Indeks!$D$163)*(H77/$H$24)</f>
        <v>311.79312688554529</v>
      </c>
      <c r="G77" s="238">
        <v>44392</v>
      </c>
      <c r="H77" s="239">
        <v>72.680000000000007</v>
      </c>
    </row>
    <row r="78" spans="1:14" hidden="1" x14ac:dyDescent="0.2">
      <c r="A78" s="240" t="s">
        <v>17</v>
      </c>
      <c r="B78" s="11">
        <v>156.19999999999999</v>
      </c>
      <c r="C78" s="243">
        <f>+((B78/$B$24)*Indeks!$D$163)*(H78/$H$24)</f>
        <v>316.58785517630218</v>
      </c>
      <c r="G78" s="238">
        <v>44424</v>
      </c>
      <c r="H78" s="248">
        <v>72.900000000000006</v>
      </c>
    </row>
    <row r="79" spans="1:14" hidden="1" x14ac:dyDescent="0.2">
      <c r="A79" s="241" t="s">
        <v>18</v>
      </c>
      <c r="B79" s="13">
        <v>166.4</v>
      </c>
      <c r="C79" s="245">
        <f>+((B79/$B$24)*Indeks!$D$163)*(H79/$H$24)</f>
        <v>339.38944946544734</v>
      </c>
      <c r="D79" s="13"/>
      <c r="E79" s="13"/>
      <c r="F79" s="13"/>
      <c r="G79" s="244">
        <v>44454</v>
      </c>
      <c r="H79" s="242">
        <v>73.36</v>
      </c>
    </row>
    <row r="81" spans="1:8" x14ac:dyDescent="0.2">
      <c r="A81" s="218"/>
      <c r="B81" s="334" t="s">
        <v>74</v>
      </c>
      <c r="C81" s="334" t="s">
        <v>77</v>
      </c>
      <c r="D81" s="219"/>
      <c r="E81" s="219"/>
      <c r="F81" s="219"/>
      <c r="G81" s="219"/>
      <c r="H81" s="220"/>
    </row>
    <row r="82" spans="1:8" x14ac:dyDescent="0.2">
      <c r="A82" s="221">
        <v>2022</v>
      </c>
      <c r="B82" s="335"/>
      <c r="C82" s="335"/>
      <c r="D82" s="224"/>
      <c r="E82" s="224"/>
      <c r="F82" s="224"/>
      <c r="G82" s="222" t="s">
        <v>110</v>
      </c>
      <c r="H82" s="223" t="s">
        <v>107</v>
      </c>
    </row>
    <row r="83" spans="1:8" x14ac:dyDescent="0.2">
      <c r="A83" s="237" t="s">
        <v>105</v>
      </c>
      <c r="B83" s="11">
        <v>167.9</v>
      </c>
      <c r="C83" s="174">
        <f>+((B83/$B$24)*Indeks!$D$163)*(H83/$H$24)</f>
        <v>346.3233389881658</v>
      </c>
      <c r="D83" s="171"/>
      <c r="E83" s="116"/>
      <c r="G83" s="238">
        <v>44484</v>
      </c>
      <c r="H83" s="239">
        <v>74.19</v>
      </c>
    </row>
    <row r="84" spans="1:8" x14ac:dyDescent="0.2">
      <c r="A84" s="240" t="s">
        <v>106</v>
      </c>
      <c r="B84" s="11">
        <v>167</v>
      </c>
      <c r="C84" s="174">
        <f>+((B84/$B$24)*Indeks!$D$163)*(H84/$H$24)</f>
        <v>345.07052521821981</v>
      </c>
      <c r="D84" s="171"/>
      <c r="E84" s="171"/>
      <c r="G84" s="238">
        <v>44515</v>
      </c>
      <c r="H84" s="239">
        <v>74.319999999999993</v>
      </c>
    </row>
    <row r="85" spans="1:8" x14ac:dyDescent="0.2">
      <c r="A85" s="237" t="s">
        <v>10</v>
      </c>
      <c r="B85" s="11">
        <v>204.9</v>
      </c>
      <c r="C85" s="174">
        <f>+((B85/$B$24)*Indeks!$D$163)*(H85/$H$24)</f>
        <v>413.01484112624797</v>
      </c>
      <c r="G85" s="238">
        <v>44545</v>
      </c>
      <c r="H85" s="239">
        <v>72.5</v>
      </c>
    </row>
    <row r="86" spans="1:8" x14ac:dyDescent="0.2">
      <c r="A86" s="240" t="s">
        <v>11</v>
      </c>
      <c r="B86" s="11">
        <v>215.4</v>
      </c>
      <c r="C86" s="174">
        <f>+((B86/$B$24)*Indeks!$D$163)*(H86/$H$24)</f>
        <v>433.99992356538559</v>
      </c>
      <c r="G86" s="238">
        <v>44575</v>
      </c>
      <c r="H86" s="239">
        <v>72.47</v>
      </c>
    </row>
    <row r="87" spans="1:8" x14ac:dyDescent="0.2">
      <c r="A87" s="237" t="s">
        <v>12</v>
      </c>
      <c r="B87" s="11">
        <v>248.5</v>
      </c>
      <c r="C87" s="174">
        <f>+((B87/$B$24)*Indeks!$D$163)*(H87/$H$24)</f>
        <v>486.25194142398379</v>
      </c>
      <c r="G87" s="238">
        <v>44607</v>
      </c>
      <c r="H87" s="248">
        <v>70.38</v>
      </c>
    </row>
    <row r="88" spans="1:8" x14ac:dyDescent="0.2">
      <c r="A88" s="240" t="s">
        <v>13</v>
      </c>
      <c r="B88" s="11">
        <v>246.1</v>
      </c>
      <c r="C88" s="174">
        <f>+((B88/$B$24)*Indeks!$D$163)*(H88/$H$24)</f>
        <v>483.67683514169613</v>
      </c>
      <c r="G88" s="238">
        <v>44635</v>
      </c>
      <c r="H88" s="248">
        <v>70.69</v>
      </c>
    </row>
    <row r="89" spans="1:8" x14ac:dyDescent="0.2">
      <c r="A89" s="237" t="s">
        <v>30</v>
      </c>
      <c r="B89" s="11">
        <v>250.3</v>
      </c>
      <c r="C89" s="174">
        <f>E91+((B89/$B$24)*Indeks!$D$163)*(H89/$H$24)</f>
        <v>500.90848074223686</v>
      </c>
      <c r="G89" s="238">
        <v>44664</v>
      </c>
      <c r="H89" s="239">
        <v>71.98</v>
      </c>
    </row>
    <row r="90" spans="1:8" x14ac:dyDescent="0.2">
      <c r="A90" s="237" t="s">
        <v>14</v>
      </c>
      <c r="B90" s="11">
        <v>264.60000000000002</v>
      </c>
      <c r="C90" s="174">
        <f>+((B90/$B$24)*Indeks!$D$163)*(H90/$H$24)</f>
        <v>521.50744042251404</v>
      </c>
      <c r="G90" s="247">
        <v>44697</v>
      </c>
      <c r="H90" s="248">
        <v>70.89</v>
      </c>
    </row>
    <row r="91" spans="1:8" x14ac:dyDescent="0.2">
      <c r="A91" s="240" t="s">
        <v>15</v>
      </c>
      <c r="B91" s="11">
        <v>266</v>
      </c>
      <c r="C91" s="243">
        <f>+((B91/$B$24)*Indeks!$D$163)*(H91/$H$24)</f>
        <v>517.68474726246529</v>
      </c>
      <c r="G91" s="238">
        <v>44727</v>
      </c>
      <c r="H91" s="239">
        <v>70</v>
      </c>
    </row>
    <row r="92" spans="1:8" x14ac:dyDescent="0.2">
      <c r="A92" s="240" t="s">
        <v>16</v>
      </c>
      <c r="B92" s="11">
        <v>245</v>
      </c>
      <c r="C92" s="243">
        <f>+((B92/$B$24)*Indeks!$D$163)*(H92/$H$24)</f>
        <v>478.51780914721309</v>
      </c>
      <c r="G92" s="238">
        <v>44757</v>
      </c>
      <c r="H92" s="239">
        <v>70.25</v>
      </c>
    </row>
    <row r="93" spans="1:8" x14ac:dyDescent="0.2">
      <c r="A93" s="240" t="s">
        <v>17</v>
      </c>
      <c r="B93" s="11">
        <v>255.7</v>
      </c>
      <c r="C93" s="243">
        <f>+((B93/$B$24)*Indeks!$D$163)*(H93/$H$24)</f>
        <v>503.61072839666366</v>
      </c>
      <c r="G93" s="238">
        <v>44788</v>
      </c>
      <c r="H93" s="248">
        <v>70.84</v>
      </c>
    </row>
    <row r="94" spans="1:8" x14ac:dyDescent="0.2">
      <c r="A94" s="241" t="s">
        <v>18</v>
      </c>
      <c r="B94" s="13">
        <v>273.7</v>
      </c>
      <c r="C94" s="245">
        <f>+((B94/$B$24)*Indeks!$D$163)*(H94/$H$24)</f>
        <v>529.39824045174578</v>
      </c>
      <c r="D94" s="13"/>
      <c r="E94" s="13"/>
      <c r="F94" s="13"/>
      <c r="G94" s="244">
        <v>44819</v>
      </c>
      <c r="H94" s="242">
        <v>69.569999999999993</v>
      </c>
    </row>
    <row r="96" spans="1:8" x14ac:dyDescent="0.2">
      <c r="A96" s="218"/>
      <c r="B96" s="334" t="s">
        <v>74</v>
      </c>
      <c r="C96" s="334" t="s">
        <v>77</v>
      </c>
      <c r="D96" s="219"/>
      <c r="E96" s="219"/>
      <c r="F96" s="219"/>
      <c r="G96" s="219"/>
      <c r="H96" s="220"/>
    </row>
    <row r="97" spans="1:8" x14ac:dyDescent="0.2">
      <c r="A97" s="221">
        <v>2023</v>
      </c>
      <c r="B97" s="335"/>
      <c r="C97" s="335"/>
      <c r="D97" s="224"/>
      <c r="E97" s="224"/>
      <c r="F97" s="224"/>
      <c r="G97" s="222" t="s">
        <v>110</v>
      </c>
      <c r="H97" s="223" t="s">
        <v>107</v>
      </c>
    </row>
    <row r="98" spans="1:8" x14ac:dyDescent="0.2">
      <c r="A98" s="237" t="s">
        <v>105</v>
      </c>
      <c r="B98" s="11">
        <v>265</v>
      </c>
      <c r="C98" s="174">
        <f>+((B98/$B$24)*Indeks!$D$163)*(H98/$H$24)</f>
        <v>497.98242201286564</v>
      </c>
      <c r="D98" s="171"/>
      <c r="E98" s="116"/>
      <c r="G98" s="238">
        <v>44848</v>
      </c>
      <c r="H98" s="239">
        <v>67.59</v>
      </c>
    </row>
    <row r="99" spans="1:8" x14ac:dyDescent="0.2">
      <c r="A99" s="240" t="s">
        <v>106</v>
      </c>
      <c r="B99" s="11">
        <v>239.2</v>
      </c>
      <c r="C99" s="174">
        <f>+((B99/$B$24)*Indeks!$D$163)*(H99/$H$24)</f>
        <v>457.74608399864962</v>
      </c>
      <c r="D99" s="171"/>
      <c r="E99" s="171"/>
      <c r="G99" s="238">
        <v>44880</v>
      </c>
      <c r="H99" s="239">
        <v>68.83</v>
      </c>
    </row>
    <row r="100" spans="1:8" x14ac:dyDescent="0.2">
      <c r="A100" s="237" t="s">
        <v>10</v>
      </c>
      <c r="B100" s="11">
        <v>248.4</v>
      </c>
      <c r="C100" s="174">
        <f>+((B100/$B$24)*Indeks!$D$163)*(H100/$H$24)</f>
        <v>471.41518553581926</v>
      </c>
      <c r="G100" s="238">
        <v>44910</v>
      </c>
      <c r="H100" s="239">
        <v>68.260000000000005</v>
      </c>
    </row>
    <row r="101" spans="1:8" x14ac:dyDescent="0.2">
      <c r="A101" s="240" t="s">
        <v>11</v>
      </c>
      <c r="B101" s="11">
        <v>240.1</v>
      </c>
      <c r="C101" s="174">
        <f>+((B101/$B$24)*Indeks!$D$163)*(H101/$H$24)</f>
        <v>440.51021240017207</v>
      </c>
      <c r="G101" s="238">
        <v>44942</v>
      </c>
      <c r="H101" s="239">
        <v>65.989999999999995</v>
      </c>
    </row>
    <row r="102" spans="1:8" x14ac:dyDescent="0.2">
      <c r="A102" s="237" t="s">
        <v>12</v>
      </c>
      <c r="B102" s="11">
        <v>241.5</v>
      </c>
      <c r="C102" s="174">
        <f>+((B102/$B$24)*Indeks!$D$163)*(H102/$H$24)</f>
        <v>449.12168409072461</v>
      </c>
      <c r="G102" s="238">
        <v>44972</v>
      </c>
      <c r="H102" s="248">
        <v>66.89</v>
      </c>
    </row>
    <row r="103" spans="1:8" x14ac:dyDescent="0.2">
      <c r="A103" s="240" t="s">
        <v>13</v>
      </c>
      <c r="B103" s="11">
        <v>236.6</v>
      </c>
      <c r="C103" s="174">
        <f>+((B103/$B$24)*Indeks!$D$163)*(H103/$H$24)</f>
        <v>437.18048745997908</v>
      </c>
      <c r="G103" s="238">
        <v>45000</v>
      </c>
      <c r="H103" s="248">
        <v>66.459999999999994</v>
      </c>
    </row>
    <row r="104" spans="1:8" x14ac:dyDescent="0.2">
      <c r="A104" s="237" t="s">
        <v>30</v>
      </c>
      <c r="B104" s="11">
        <v>225.1</v>
      </c>
      <c r="C104" s="174">
        <f>E106+((B104/$B$24)*Indeks!$D$163)*(H104/$H$24)</f>
        <v>410.98711278725267</v>
      </c>
      <c r="G104" s="238">
        <v>45030</v>
      </c>
      <c r="H104" s="239">
        <v>65.67</v>
      </c>
    </row>
    <row r="105" spans="1:8" x14ac:dyDescent="0.2">
      <c r="A105" s="237" t="s">
        <v>14</v>
      </c>
      <c r="B105" s="11">
        <v>234.5</v>
      </c>
      <c r="C105" s="174">
        <f>+((B105/$B$24)*Indeks!$D$163)*(H105/$H$24)</f>
        <v>430.04033031427787</v>
      </c>
      <c r="G105" s="247">
        <v>45061</v>
      </c>
      <c r="H105" s="248">
        <v>65.959999999999994</v>
      </c>
    </row>
    <row r="106" spans="1:8" x14ac:dyDescent="0.2">
      <c r="A106" s="240" t="s">
        <v>15</v>
      </c>
      <c r="B106" s="11">
        <v>238.2</v>
      </c>
      <c r="C106" s="243">
        <f>+((B106/$B$24)*Indeks!$D$163)*(H106/$H$24)</f>
        <v>424.70628683945006</v>
      </c>
      <c r="G106" s="247">
        <v>45092</v>
      </c>
      <c r="H106" s="239">
        <v>64.13</v>
      </c>
    </row>
    <row r="107" spans="1:8" x14ac:dyDescent="0.2">
      <c r="A107" s="240" t="s">
        <v>16</v>
      </c>
      <c r="B107" s="11">
        <v>251.3</v>
      </c>
      <c r="C107" s="243">
        <f>+((B107/$B$24)*Indeks!$D$163)*(H107/$H$24)</f>
        <v>452.81437220897953</v>
      </c>
      <c r="G107" s="238">
        <v>45121</v>
      </c>
      <c r="H107" s="239">
        <v>64.81</v>
      </c>
    </row>
    <row r="108" spans="1:8" x14ac:dyDescent="0.2">
      <c r="A108" s="240" t="s">
        <v>17</v>
      </c>
      <c r="B108" s="11">
        <v>265</v>
      </c>
      <c r="C108" s="243">
        <f>+((B108/$B$24)*Indeks!$D$163)*(H108/$H$24)</f>
        <v>463.72264597558456</v>
      </c>
      <c r="G108" s="238">
        <v>45153</v>
      </c>
      <c r="H108" s="248">
        <v>62.94</v>
      </c>
    </row>
    <row r="109" spans="1:8" x14ac:dyDescent="0.2">
      <c r="A109" s="241" t="s">
        <v>18</v>
      </c>
      <c r="B109" s="13">
        <v>264.2</v>
      </c>
      <c r="C109" s="245">
        <f>+((B109/$B$24)*Indeks!$D$163)*(H109/$H$24)</f>
        <v>461.36781983575446</v>
      </c>
      <c r="D109" s="13"/>
      <c r="E109" s="13"/>
      <c r="F109" s="13"/>
      <c r="G109" s="244">
        <v>45184</v>
      </c>
      <c r="H109" s="242">
        <v>62.81</v>
      </c>
    </row>
    <row r="111" spans="1:8" x14ac:dyDescent="0.2">
      <c r="A111" s="218"/>
      <c r="B111" s="334" t="s">
        <v>74</v>
      </c>
      <c r="C111" s="334" t="s">
        <v>77</v>
      </c>
      <c r="D111" s="219"/>
      <c r="E111" s="219"/>
      <c r="F111" s="219"/>
      <c r="G111" s="219"/>
      <c r="H111" s="220"/>
    </row>
    <row r="112" spans="1:8" x14ac:dyDescent="0.2">
      <c r="A112" s="221">
        <v>2024</v>
      </c>
      <c r="B112" s="335"/>
      <c r="C112" s="335"/>
      <c r="D112" s="224"/>
      <c r="E112" s="224"/>
      <c r="F112" s="224"/>
      <c r="G112" s="222" t="s">
        <v>110</v>
      </c>
      <c r="H112" s="223" t="s">
        <v>107</v>
      </c>
    </row>
    <row r="113" spans="1:8" x14ac:dyDescent="0.2">
      <c r="A113" s="237" t="s">
        <v>105</v>
      </c>
      <c r="B113" s="11">
        <v>254.1</v>
      </c>
      <c r="C113" s="174">
        <f>+((B113/$B$24)*Indeks!$D$163)*(H113/$H$24)</f>
        <v>456.72931445557043</v>
      </c>
      <c r="D113" s="171"/>
      <c r="E113" s="116"/>
      <c r="G113" s="238">
        <v>45215</v>
      </c>
      <c r="H113" s="239">
        <v>64.650000000000006</v>
      </c>
    </row>
    <row r="114" spans="1:8" x14ac:dyDescent="0.2">
      <c r="A114" s="240" t="s">
        <v>106</v>
      </c>
      <c r="B114" s="11">
        <v>239.1</v>
      </c>
      <c r="C114" s="174">
        <f>+((B114/$B$24)*Indeks!$D$163)*(H114/$H$24)</f>
        <v>433.02505256764061</v>
      </c>
      <c r="D114" s="171"/>
      <c r="E114" s="171"/>
      <c r="G114" s="238">
        <v>45245</v>
      </c>
      <c r="H114" s="239">
        <v>65.14</v>
      </c>
    </row>
    <row r="115" spans="1:8" x14ac:dyDescent="0.2">
      <c r="A115" s="237" t="s">
        <v>10</v>
      </c>
      <c r="B115" s="11">
        <v>187.7</v>
      </c>
      <c r="C115" s="174">
        <f>+((B115/$B$24)*Indeks!$D$163)*(H115/$H$24)</f>
        <v>346.98148256159203</v>
      </c>
      <c r="G115" s="238">
        <v>45275</v>
      </c>
      <c r="H115" s="239">
        <v>66.489999999999995</v>
      </c>
    </row>
    <row r="116" spans="1:8" x14ac:dyDescent="0.2">
      <c r="A116" s="240" t="s">
        <v>11</v>
      </c>
      <c r="B116" s="11">
        <v>193.6</v>
      </c>
      <c r="C116" s="174">
        <f>+((B116/$B$24)*Indeks!$D$163)*(H116/$H$24)</f>
        <v>356.00429398553587</v>
      </c>
      <c r="G116" s="238">
        <v>45306</v>
      </c>
      <c r="H116" s="239">
        <v>66.14</v>
      </c>
    </row>
    <row r="117" spans="1:8" x14ac:dyDescent="0.2">
      <c r="A117" s="237" t="s">
        <v>12</v>
      </c>
      <c r="B117" s="11">
        <v>188.6</v>
      </c>
      <c r="C117" s="174">
        <f>+((B117/$B$24)*Indeks!$D$163)*(H117/$H$24)</f>
        <v>347.2294541115831</v>
      </c>
      <c r="G117" s="238">
        <v>45337</v>
      </c>
      <c r="H117" s="248">
        <v>66.22</v>
      </c>
    </row>
    <row r="118" spans="1:8" x14ac:dyDescent="0.2">
      <c r="A118" s="240" t="s">
        <v>13</v>
      </c>
      <c r="B118" s="11">
        <v>187.5</v>
      </c>
      <c r="C118" s="174">
        <f>+((B118/$B$24)*Indeks!$D$163)*(H118/$H$24)</f>
        <v>344.99573617578505</v>
      </c>
      <c r="G118" s="238">
        <v>45366</v>
      </c>
      <c r="H118" s="248">
        <v>66.180000000000007</v>
      </c>
    </row>
    <row r="119" spans="1:8" x14ac:dyDescent="0.2">
      <c r="A119" s="237" t="s">
        <v>30</v>
      </c>
      <c r="B119" s="11">
        <v>181.8</v>
      </c>
      <c r="C119" s="174">
        <f>E121+((B119/$B$24)*Indeks!$D$163)*(H119/$H$24)</f>
        <v>326.26900479199844</v>
      </c>
      <c r="G119" s="238">
        <v>45397</v>
      </c>
      <c r="H119" s="239">
        <v>64.55</v>
      </c>
    </row>
    <row r="120" spans="1:8" x14ac:dyDescent="0.2">
      <c r="A120" s="237" t="s">
        <v>14</v>
      </c>
      <c r="B120" s="11">
        <v>177</v>
      </c>
      <c r="C120" s="174">
        <f>+((B120/$B$24)*Indeks!$D$163)*(H120/$H$24)</f>
        <v>314.50516106150997</v>
      </c>
      <c r="G120" s="247">
        <v>45427</v>
      </c>
      <c r="H120" s="248">
        <v>63.91</v>
      </c>
    </row>
    <row r="121" spans="1:8" x14ac:dyDescent="0.2">
      <c r="A121" s="240" t="s">
        <v>15</v>
      </c>
      <c r="B121" s="11">
        <v>179</v>
      </c>
      <c r="C121" s="243">
        <f>+((B121/$B$24)*Indeks!$D$163)*(H121/$H$24)</f>
        <v>329.35592946914943</v>
      </c>
      <c r="G121" s="247">
        <v>45457</v>
      </c>
      <c r="H121" s="239">
        <v>66.180000000000007</v>
      </c>
    </row>
    <row r="122" spans="1:8" x14ac:dyDescent="0.2">
      <c r="A122" s="240" t="s">
        <v>16</v>
      </c>
      <c r="B122" s="11">
        <v>172.9</v>
      </c>
      <c r="C122" s="243">
        <f>+((B122/$B$24)*Indeks!$D$163)*(H122/$H$24)</f>
        <v>310.87338847930522</v>
      </c>
      <c r="G122" s="238">
        <v>45488</v>
      </c>
      <c r="H122" s="239">
        <v>64.67</v>
      </c>
    </row>
    <row r="123" spans="1:8" x14ac:dyDescent="0.2">
      <c r="A123" s="240" t="s">
        <v>17</v>
      </c>
      <c r="B123" s="11">
        <v>164.9</v>
      </c>
      <c r="C123" s="243">
        <f>+((B123/$B$24)*Indeks!$D$163)*(H123/$H$24)</f>
        <v>297.13127726725321</v>
      </c>
      <c r="G123" s="238">
        <v>45519</v>
      </c>
      <c r="H123" s="248">
        <v>64.81</v>
      </c>
    </row>
    <row r="124" spans="1:8" x14ac:dyDescent="0.2">
      <c r="A124" s="241" t="s">
        <v>18</v>
      </c>
      <c r="B124" s="13">
        <v>166.1</v>
      </c>
      <c r="C124" s="245">
        <f>+((B124/$B$24)*Indeks!$D$163)*(H124/$H$24)</f>
        <v>304.41953895906971</v>
      </c>
      <c r="D124" s="13"/>
      <c r="E124" s="13"/>
      <c r="F124" s="13"/>
      <c r="G124" s="244">
        <v>45551</v>
      </c>
      <c r="H124" s="242">
        <v>65.92</v>
      </c>
    </row>
    <row r="126" spans="1:8" x14ac:dyDescent="0.2">
      <c r="A126" s="218"/>
      <c r="B126" s="334" t="s">
        <v>74</v>
      </c>
      <c r="C126" s="334" t="s">
        <v>77</v>
      </c>
      <c r="D126" s="219"/>
      <c r="E126" s="219"/>
      <c r="F126" s="219"/>
      <c r="G126" s="219"/>
      <c r="H126" s="220"/>
    </row>
    <row r="127" spans="1:8" x14ac:dyDescent="0.2">
      <c r="A127" s="221">
        <v>2025</v>
      </c>
      <c r="B127" s="335"/>
      <c r="C127" s="335"/>
      <c r="D127" s="224"/>
      <c r="E127" s="224"/>
      <c r="F127" s="224"/>
      <c r="G127" s="222" t="s">
        <v>110</v>
      </c>
      <c r="H127" s="223" t="s">
        <v>107</v>
      </c>
    </row>
    <row r="128" spans="1:8" x14ac:dyDescent="0.2">
      <c r="A128" s="237" t="s">
        <v>105</v>
      </c>
      <c r="B128" s="11">
        <v>171.6</v>
      </c>
      <c r="C128" s="174">
        <f>+((B128/$B$24)*Indeks!$D$163)*(H128/$H$24)</f>
        <v>314.97674906811926</v>
      </c>
      <c r="D128" s="171"/>
      <c r="E128" s="116"/>
      <c r="G128" s="238">
        <v>45580</v>
      </c>
      <c r="H128" s="239">
        <v>66.02</v>
      </c>
    </row>
    <row r="129" spans="1:8" x14ac:dyDescent="0.2">
      <c r="A129" s="240" t="s">
        <v>106</v>
      </c>
      <c r="B129" s="11">
        <v>173.7</v>
      </c>
      <c r="C129" s="174">
        <f>+((B129/$B$24)*Indeks!$D$163)*(H129/$H$24)</f>
        <v>310.7664040052199</v>
      </c>
      <c r="D129" s="171"/>
      <c r="E129" s="171"/>
      <c r="G129" s="238">
        <v>45611</v>
      </c>
      <c r="H129" s="239">
        <v>64.349999999999994</v>
      </c>
    </row>
    <row r="130" spans="1:8" x14ac:dyDescent="0.2">
      <c r="A130" s="237" t="s">
        <v>10</v>
      </c>
      <c r="B130" s="11">
        <v>180.5</v>
      </c>
      <c r="C130" s="174">
        <f>+((B130/$B$24)*Indeks!$D$163)*(H130/$H$24)</f>
        <v>326.79642045556284</v>
      </c>
      <c r="G130" s="238">
        <v>45642</v>
      </c>
      <c r="H130" s="239">
        <v>65.12</v>
      </c>
    </row>
    <row r="131" spans="1:8" x14ac:dyDescent="0.2">
      <c r="A131" s="240" t="s">
        <v>11</v>
      </c>
      <c r="B131" s="11">
        <v>178.9</v>
      </c>
      <c r="C131" s="174">
        <f>+((B131/$B$24)*Indeks!$D$163)*(H131/$H$24)</f>
        <v>322.65613799003739</v>
      </c>
      <c r="G131" s="238">
        <v>45672</v>
      </c>
      <c r="H131" s="239">
        <v>64.87</v>
      </c>
    </row>
    <row r="132" spans="1:8" x14ac:dyDescent="0.2">
      <c r="A132" s="237" t="s">
        <v>12</v>
      </c>
      <c r="B132" s="11">
        <v>169.7</v>
      </c>
      <c r="C132" s="174">
        <f>+((B132/$B$24)*Indeks!$D$163)*(H132/$H$24)</f>
        <v>312.9518565961605</v>
      </c>
      <c r="G132" s="238">
        <v>45702</v>
      </c>
      <c r="H132" s="248">
        <v>66.33</v>
      </c>
    </row>
    <row r="133" spans="1:8" x14ac:dyDescent="0.2">
      <c r="A133" s="240" t="s">
        <v>13</v>
      </c>
      <c r="B133" s="11">
        <v>157</v>
      </c>
      <c r="C133" s="174">
        <f>+((B133/$B$24)*Indeks!$D$163)*(H133/$H$24)</f>
        <v>294.59459420304904</v>
      </c>
      <c r="G133" s="238">
        <v>45730</v>
      </c>
      <c r="H133" s="248">
        <v>67.489999999999995</v>
      </c>
    </row>
    <row r="134" spans="1:8" x14ac:dyDescent="0.2">
      <c r="A134" s="237" t="s">
        <v>30</v>
      </c>
      <c r="B134" s="11"/>
      <c r="C134" s="174">
        <f>E136+((B134/$B$24)*Indeks!$D$163)*(H134/$H$24)</f>
        <v>0</v>
      </c>
      <c r="G134" s="238"/>
      <c r="H134" s="239"/>
    </row>
    <row r="135" spans="1:8" x14ac:dyDescent="0.2">
      <c r="A135" s="237" t="s">
        <v>14</v>
      </c>
      <c r="B135" s="11"/>
      <c r="C135" s="174">
        <f>+((B135/$B$24)*Indeks!$D$163)*(H135/$H$24)</f>
        <v>0</v>
      </c>
      <c r="G135" s="247"/>
      <c r="H135" s="248"/>
    </row>
    <row r="136" spans="1:8" x14ac:dyDescent="0.2">
      <c r="A136" s="240" t="s">
        <v>15</v>
      </c>
      <c r="B136" s="11"/>
      <c r="C136" s="243">
        <f>+((B136/$B$24)*Indeks!$D$163)*(H136/$H$24)</f>
        <v>0</v>
      </c>
      <c r="G136" s="247"/>
      <c r="H136" s="239"/>
    </row>
    <row r="137" spans="1:8" x14ac:dyDescent="0.2">
      <c r="A137" s="240" t="s">
        <v>16</v>
      </c>
      <c r="B137" s="11"/>
      <c r="C137" s="243">
        <f>+((B137/$B$24)*Indeks!$D$163)*(H137/$H$24)</f>
        <v>0</v>
      </c>
      <c r="G137" s="238"/>
      <c r="H137" s="239"/>
    </row>
    <row r="138" spans="1:8" x14ac:dyDescent="0.2">
      <c r="A138" s="240" t="s">
        <v>17</v>
      </c>
      <c r="B138" s="11"/>
      <c r="C138" s="243">
        <f>+((B138/$B$24)*Indeks!$D$163)*(H138/$H$24)</f>
        <v>0</v>
      </c>
      <c r="G138" s="238"/>
      <c r="H138" s="248"/>
    </row>
    <row r="139" spans="1:8" x14ac:dyDescent="0.2">
      <c r="A139" s="241" t="s">
        <v>18</v>
      </c>
      <c r="B139" s="13"/>
      <c r="C139" s="245">
        <f>+((B139/$B$24)*Indeks!$D$163)*(H139/$H$24)</f>
        <v>0</v>
      </c>
      <c r="D139" s="13"/>
      <c r="E139" s="13"/>
      <c r="F139" s="13"/>
      <c r="G139" s="244"/>
      <c r="H139" s="242"/>
    </row>
  </sheetData>
  <mergeCells count="19"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  <mergeCell ref="B126:B127"/>
    <mergeCell ref="C126:C127"/>
    <mergeCell ref="B111:B112"/>
    <mergeCell ref="C111:C112"/>
    <mergeCell ref="B96:B97"/>
    <mergeCell ref="C96:C97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2025-05-15T14:30:50Z</cp:lastPrinted>
  <dcterms:created xsi:type="dcterms:W3CDTF">2009-05-19T06:17:18Z</dcterms:created>
  <dcterms:modified xsi:type="dcterms:W3CDTF">2025-05-15T14:30:56Z</dcterms:modified>
</cp:coreProperties>
</file>