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Busovertagelse\Busovertagelsespriser 2024\"/>
    </mc:Choice>
  </mc:AlternateContent>
  <xr:revisionPtr revIDLastSave="0" documentId="13_ncr:1_{D489D38E-1D77-402D-9BC6-1738694E05F0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kommenteret" sheetId="3" r:id="rId1"/>
    <sheet name="A" sheetId="1" r:id="rId2"/>
    <sheet name="Overtagelsespriser 2024" sheetId="5" r:id="rId3"/>
    <sheet name="Ark1" sheetId="4" r:id="rId4"/>
  </sheets>
  <definedNames>
    <definedName name="_xlnm.Print_Area" localSheetId="1">A!$A$1:$H$42</definedName>
    <definedName name="_xlnm.Print_Area" localSheetId="0">kommenteret!$A$2:$I$38</definedName>
    <definedName name="_xlnm.Print_Area" localSheetId="2">'Overtagelsespriser 2024'!$A$1:$H$41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5" l="1"/>
  <c r="G39" i="5"/>
  <c r="F39" i="5"/>
  <c r="E39" i="5"/>
  <c r="B38" i="5"/>
  <c r="D38" i="5" s="1"/>
  <c r="B37" i="5"/>
  <c r="D37" i="5" s="1"/>
  <c r="B36" i="5"/>
  <c r="D36" i="5" s="1"/>
  <c r="D35" i="5"/>
  <c r="F35" i="5" s="1"/>
  <c r="B35" i="5"/>
  <c r="B34" i="5"/>
  <c r="D34" i="5" s="1"/>
  <c r="B33" i="5"/>
  <c r="D33" i="5" s="1"/>
  <c r="B32" i="5"/>
  <c r="D32" i="5" s="1"/>
  <c r="D31" i="5"/>
  <c r="F31" i="5" s="1"/>
  <c r="B31" i="5"/>
  <c r="B30" i="5"/>
  <c r="D30" i="5" s="1"/>
  <c r="B29" i="5"/>
  <c r="D29" i="5" s="1"/>
  <c r="B28" i="5"/>
  <c r="D28" i="5" s="1"/>
  <c r="D27" i="5"/>
  <c r="F27" i="5" s="1"/>
  <c r="B27" i="5"/>
  <c r="B26" i="5"/>
  <c r="D26" i="5" s="1"/>
  <c r="B25" i="5"/>
  <c r="D25" i="5" s="1"/>
  <c r="B24" i="5"/>
  <c r="D24" i="5" s="1"/>
  <c r="D23" i="5"/>
  <c r="F23" i="5" s="1"/>
  <c r="B23" i="5"/>
  <c r="B22" i="5"/>
  <c r="D22" i="5" s="1"/>
  <c r="B21" i="5"/>
  <c r="D21" i="5" s="1"/>
  <c r="B20" i="5"/>
  <c r="D20" i="5" s="1"/>
  <c r="D19" i="5"/>
  <c r="F19" i="5" s="1"/>
  <c r="B19" i="5"/>
  <c r="B18" i="5"/>
  <c r="D18" i="5" s="1"/>
  <c r="D18" i="1"/>
  <c r="B18" i="1"/>
  <c r="H18" i="1" s="1"/>
  <c r="H22" i="5" l="1"/>
  <c r="G22" i="5"/>
  <c r="F22" i="5"/>
  <c r="E22" i="5"/>
  <c r="E30" i="5"/>
  <c r="H30" i="5"/>
  <c r="G30" i="5"/>
  <c r="F30" i="5"/>
  <c r="H36" i="5"/>
  <c r="G36" i="5"/>
  <c r="E36" i="5"/>
  <c r="F36" i="5"/>
  <c r="H28" i="5"/>
  <c r="E28" i="5"/>
  <c r="G28" i="5"/>
  <c r="F28" i="5"/>
  <c r="H18" i="5"/>
  <c r="E18" i="5"/>
  <c r="G18" i="5"/>
  <c r="F18" i="5"/>
  <c r="H24" i="5"/>
  <c r="E24" i="5"/>
  <c r="G24" i="5"/>
  <c r="F24" i="5"/>
  <c r="G37" i="5"/>
  <c r="F37" i="5"/>
  <c r="E37" i="5"/>
  <c r="H37" i="5"/>
  <c r="H29" i="5"/>
  <c r="G29" i="5"/>
  <c r="F29" i="5"/>
  <c r="E29" i="5"/>
  <c r="H25" i="5"/>
  <c r="G25" i="5"/>
  <c r="F25" i="5"/>
  <c r="E25" i="5"/>
  <c r="H38" i="5"/>
  <c r="G38" i="5"/>
  <c r="F38" i="5"/>
  <c r="E38" i="5"/>
  <c r="H26" i="5"/>
  <c r="E26" i="5"/>
  <c r="G26" i="5"/>
  <c r="F26" i="5"/>
  <c r="H32" i="5"/>
  <c r="E32" i="5"/>
  <c r="F32" i="5"/>
  <c r="G32" i="5"/>
  <c r="H20" i="5"/>
  <c r="E20" i="5"/>
  <c r="G20" i="5"/>
  <c r="F20" i="5"/>
  <c r="G33" i="5"/>
  <c r="H33" i="5"/>
  <c r="F33" i="5"/>
  <c r="E33" i="5"/>
  <c r="G21" i="5"/>
  <c r="F21" i="5"/>
  <c r="H21" i="5"/>
  <c r="E21" i="5"/>
  <c r="E34" i="5"/>
  <c r="H34" i="5"/>
  <c r="G34" i="5"/>
  <c r="F34" i="5"/>
  <c r="H19" i="5"/>
  <c r="H23" i="5"/>
  <c r="H27" i="5"/>
  <c r="H31" i="5"/>
  <c r="H35" i="5"/>
  <c r="E19" i="5"/>
  <c r="G19" i="5"/>
  <c r="G31" i="5"/>
  <c r="G35" i="5"/>
  <c r="E23" i="5"/>
  <c r="G23" i="5"/>
  <c r="G27" i="5"/>
  <c r="E27" i="5"/>
  <c r="E31" i="5"/>
  <c r="E35" i="5"/>
  <c r="E18" i="1"/>
  <c r="F18" i="1"/>
  <c r="G18" i="1"/>
  <c r="B19" i="1" l="1"/>
  <c r="B20" i="1"/>
  <c r="D20" i="1" s="1"/>
  <c r="E17" i="3"/>
  <c r="B17" i="3"/>
  <c r="B18" i="3"/>
  <c r="E18" i="3" s="1"/>
  <c r="B19" i="3"/>
  <c r="E19" i="3" s="1"/>
  <c r="B21" i="1"/>
  <c r="D21" i="1" s="1"/>
  <c r="G20" i="1" l="1"/>
  <c r="F20" i="1"/>
  <c r="E20" i="1"/>
  <c r="H20" i="1"/>
  <c r="G18" i="3"/>
  <c r="H18" i="3"/>
  <c r="F18" i="3"/>
  <c r="I18" i="3"/>
  <c r="I19" i="3"/>
  <c r="H19" i="3"/>
  <c r="F19" i="3"/>
  <c r="G19" i="3"/>
  <c r="H21" i="1"/>
  <c r="G21" i="1"/>
  <c r="F21" i="1"/>
  <c r="E21" i="1"/>
  <c r="D19" i="1" l="1"/>
  <c r="G19" i="1" s="1"/>
  <c r="H19" i="1" l="1"/>
  <c r="E19" i="1"/>
  <c r="F19" i="1"/>
  <c r="I17" i="3"/>
  <c r="F17" i="3" l="1"/>
  <c r="H17" i="3"/>
  <c r="G17" i="3"/>
  <c r="B20" i="3"/>
  <c r="E20" i="3" s="1"/>
  <c r="B22" i="1"/>
  <c r="D22" i="1"/>
  <c r="F22" i="1" s="1"/>
  <c r="B23" i="3"/>
  <c r="B23" i="1"/>
  <c r="B24" i="1"/>
  <c r="D23" i="1"/>
  <c r="F23" i="1" s="1"/>
  <c r="B21" i="3"/>
  <c r="E21" i="3" s="1"/>
  <c r="B22" i="3"/>
  <c r="E22" i="3" s="1"/>
  <c r="D24" i="1"/>
  <c r="G24" i="1" s="1"/>
  <c r="H24" i="1"/>
  <c r="B25" i="1"/>
  <c r="D25" i="1"/>
  <c r="F25" i="1" s="1"/>
  <c r="E16" i="3"/>
  <c r="B26" i="1"/>
  <c r="D26" i="1" s="1"/>
  <c r="E26" i="1" s="1"/>
  <c r="B24" i="3"/>
  <c r="E24" i="3" s="1"/>
  <c r="E23" i="3"/>
  <c r="I23" i="3" s="1"/>
  <c r="B28" i="1"/>
  <c r="D28" i="1" s="1"/>
  <c r="G28" i="1" s="1"/>
  <c r="B27" i="1"/>
  <c r="D27" i="1" s="1"/>
  <c r="B25" i="3"/>
  <c r="E25" i="3"/>
  <c r="I25" i="3" s="1"/>
  <c r="B36" i="3"/>
  <c r="E36" i="3" s="1"/>
  <c r="B35" i="3"/>
  <c r="E35" i="3"/>
  <c r="H35" i="3" s="1"/>
  <c r="B34" i="3"/>
  <c r="E34" i="3"/>
  <c r="I34" i="3" s="1"/>
  <c r="B33" i="3"/>
  <c r="E33" i="3" s="1"/>
  <c r="B32" i="3"/>
  <c r="E32" i="3"/>
  <c r="I32" i="3" s="1"/>
  <c r="B31" i="3"/>
  <c r="E31" i="3" s="1"/>
  <c r="B30" i="3"/>
  <c r="E30" i="3" s="1"/>
  <c r="G30" i="3" s="1"/>
  <c r="B29" i="3"/>
  <c r="E29" i="3" s="1"/>
  <c r="B28" i="3"/>
  <c r="E28" i="3"/>
  <c r="F28" i="3" s="1"/>
  <c r="B27" i="3"/>
  <c r="E27" i="3" s="1"/>
  <c r="B26" i="3"/>
  <c r="E26" i="3" s="1"/>
  <c r="H26" i="3" s="1"/>
  <c r="I37" i="3"/>
  <c r="H37" i="3"/>
  <c r="G37" i="3"/>
  <c r="F37" i="3"/>
  <c r="B29" i="1"/>
  <c r="D29" i="1" s="1"/>
  <c r="B30" i="1"/>
  <c r="D30" i="1" s="1"/>
  <c r="F30" i="1" s="1"/>
  <c r="H39" i="1"/>
  <c r="G39" i="1"/>
  <c r="F39" i="1"/>
  <c r="E39" i="1"/>
  <c r="B31" i="1"/>
  <c r="D31" i="1" s="1"/>
  <c r="G31" i="1" s="1"/>
  <c r="B32" i="1"/>
  <c r="D32" i="1" s="1"/>
  <c r="G32" i="1" s="1"/>
  <c r="B33" i="1"/>
  <c r="D33" i="1" s="1"/>
  <c r="B34" i="1"/>
  <c r="D34" i="1" s="1"/>
  <c r="F34" i="1" s="1"/>
  <c r="B35" i="1"/>
  <c r="D35" i="1" s="1"/>
  <c r="E35" i="1" s="1"/>
  <c r="B36" i="1"/>
  <c r="D36" i="1"/>
  <c r="G36" i="1" s="1"/>
  <c r="B37" i="1"/>
  <c r="D37" i="1" s="1"/>
  <c r="B38" i="1"/>
  <c r="D38" i="1" s="1"/>
  <c r="E25" i="1"/>
  <c r="H22" i="1" l="1"/>
  <c r="G22" i="1"/>
  <c r="F27" i="1"/>
  <c r="H27" i="1"/>
  <c r="E27" i="1"/>
  <c r="H36" i="1"/>
  <c r="F34" i="3"/>
  <c r="G34" i="3"/>
  <c r="H34" i="3"/>
  <c r="E32" i="1"/>
  <c r="G29" i="1"/>
  <c r="H29" i="1"/>
  <c r="G38" i="1"/>
  <c r="F38" i="1"/>
  <c r="H30" i="1"/>
  <c r="G22" i="3"/>
  <c r="I22" i="3"/>
  <c r="H24" i="3"/>
  <c r="G24" i="3"/>
  <c r="G28" i="3"/>
  <c r="G32" i="3"/>
  <c r="E36" i="1"/>
  <c r="I29" i="3"/>
  <c r="H29" i="3"/>
  <c r="F29" i="3"/>
  <c r="G29" i="3"/>
  <c r="H31" i="3"/>
  <c r="I31" i="3"/>
  <c r="I26" i="3"/>
  <c r="F26" i="3"/>
  <c r="G26" i="3"/>
  <c r="F35" i="3"/>
  <c r="H28" i="3"/>
  <c r="F24" i="3"/>
  <c r="H32" i="3"/>
  <c r="I28" i="3"/>
  <c r="G35" i="3"/>
  <c r="H25" i="3"/>
  <c r="H22" i="3"/>
  <c r="E37" i="1"/>
  <c r="H37" i="1"/>
  <c r="E33" i="1"/>
  <c r="F33" i="1"/>
  <c r="G27" i="1"/>
  <c r="H32" i="1"/>
  <c r="F36" i="1"/>
  <c r="F32" i="1"/>
  <c r="G33" i="1"/>
  <c r="H31" i="1"/>
  <c r="E23" i="1"/>
  <c r="H28" i="1"/>
  <c r="F35" i="1"/>
  <c r="G23" i="1"/>
  <c r="F26" i="1"/>
  <c r="F28" i="1"/>
  <c r="G35" i="1"/>
  <c r="H23" i="1"/>
  <c r="G26" i="1"/>
  <c r="E38" i="1"/>
  <c r="H38" i="1"/>
  <c r="H25" i="1"/>
  <c r="H26" i="1"/>
  <c r="F29" i="1"/>
  <c r="E31" i="1"/>
  <c r="G30" i="1"/>
  <c r="G37" i="1"/>
  <c r="E30" i="1"/>
  <c r="E24" i="1"/>
  <c r="F24" i="1"/>
  <c r="G25" i="1"/>
  <c r="E29" i="1"/>
  <c r="F31" i="1"/>
  <c r="E22" i="1"/>
  <c r="F37" i="1"/>
  <c r="E28" i="1"/>
  <c r="H33" i="1"/>
  <c r="H35" i="1"/>
  <c r="G34" i="1"/>
  <c r="H34" i="1"/>
  <c r="E34" i="1"/>
  <c r="I33" i="3"/>
  <c r="G33" i="3"/>
  <c r="F33" i="3"/>
  <c r="H33" i="3"/>
  <c r="I21" i="3"/>
  <c r="H21" i="3"/>
  <c r="G21" i="3"/>
  <c r="F21" i="3"/>
  <c r="H27" i="3"/>
  <c r="G27" i="3"/>
  <c r="F27" i="3"/>
  <c r="I27" i="3"/>
  <c r="H36" i="3"/>
  <c r="I36" i="3"/>
  <c r="F36" i="3"/>
  <c r="G36" i="3"/>
  <c r="H20" i="3"/>
  <c r="G20" i="3"/>
  <c r="F20" i="3"/>
  <c r="I20" i="3"/>
  <c r="F25" i="3"/>
  <c r="F23" i="3"/>
  <c r="F30" i="3"/>
  <c r="G23" i="3"/>
  <c r="G25" i="3"/>
  <c r="G31" i="3"/>
  <c r="I30" i="3"/>
  <c r="I24" i="3"/>
  <c r="H23" i="3"/>
  <c r="F32" i="3"/>
  <c r="F31" i="3"/>
  <c r="I35" i="3"/>
  <c r="F22" i="3"/>
  <c r="H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Nonnemann Bonde</author>
    <author>tc={FD15F576-F78F-4B9A-9ACF-185130908A09}</author>
    <author>tc={6D4A07E9-E464-4531-A9FD-D655DA2FC0DB}</author>
  </authors>
  <commentList>
    <comment ref="B17" authorId="0" shapeId="0" xr:uid="{69446A27-BB15-4BF6-91AB-485F875C5CB4}">
      <text>
        <r>
          <rPr>
            <b/>
            <sz val="9"/>
            <color indexed="81"/>
            <rFont val="Tahoma"/>
            <family val="2"/>
          </rPr>
          <t>Helle Nonnemann Bonde:</t>
        </r>
        <r>
          <rPr>
            <sz val="9"/>
            <color indexed="81"/>
            <rFont val="Tahoma"/>
            <family val="2"/>
          </rPr>
          <t xml:space="preserve">
308,0: indeks 2022, 
105,4: Gns pris 114 i 2022,
 113,5: Gns pris 114 i 2023</t>
        </r>
      </text>
    </comment>
    <comment ref="C17" authorId="1" shapeId="0" xr:uid="{FD15F576-F78F-4B9A-9ACF-185130908A09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105,4 er års gennemsnit pris 114 i 2021. De øvrige indeks er fra beregningen sidste år
Besvar:
    113,5 er års gennemsnit pris 114 i 2022. De øvrige indeks er fra beregningen sidste år</t>
      </text>
    </comment>
    <comment ref="B18" authorId="0" shapeId="0" xr:uid="{1E6E61D0-1073-4349-AD40-DB0F7462F46C}">
      <text>
        <r>
          <rPr>
            <b/>
            <sz val="9"/>
            <color indexed="81"/>
            <rFont val="Tahoma"/>
            <family val="2"/>
          </rPr>
          <t>Helle Nonnemann Bonde:</t>
        </r>
        <r>
          <rPr>
            <sz val="9"/>
            <color indexed="81"/>
            <rFont val="Tahoma"/>
            <family val="2"/>
          </rPr>
          <t xml:space="preserve">
303,6: indeks 2021, 
105,4: Gns pris 114 i 2021,
 103,9: Gns pris 114 i 2022</t>
        </r>
      </text>
    </comment>
    <comment ref="C18" authorId="2" shapeId="0" xr:uid="{6D4A07E9-E464-4531-A9FD-D655DA2FC0DB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105,4 er års gennemsnit pris 114 i 2021. De øvrige indeks er fra beregningen sidste år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Nonnemann Bonde</author>
  </authors>
  <commentList>
    <comment ref="B18" authorId="0" shapeId="0" xr:uid="{4C1BD903-2C38-48FC-952E-616D78496331}">
      <text>
        <r>
          <rPr>
            <b/>
            <sz val="9"/>
            <color indexed="81"/>
            <rFont val="Tahoma"/>
            <family val="2"/>
          </rPr>
          <t>Helle Nonnemann Bonde:</t>
        </r>
        <r>
          <rPr>
            <sz val="9"/>
            <color indexed="81"/>
            <rFont val="Tahoma"/>
            <family val="2"/>
          </rPr>
          <t xml:space="preserve">
331,7: indeks 2023, 
118,0: Gns pris 114 i 2023,
 113,5: Gns pris 114 i 2022</t>
        </r>
      </text>
    </comment>
    <comment ref="B19" authorId="0" shapeId="0" xr:uid="{921595A7-92E3-4103-843D-DE074501129A}">
      <text>
        <r>
          <rPr>
            <b/>
            <sz val="9"/>
            <color indexed="81"/>
            <rFont val="Tahoma"/>
            <family val="2"/>
          </rPr>
          <t>Helle Nonnemann Bonde:</t>
        </r>
        <r>
          <rPr>
            <sz val="9"/>
            <color indexed="81"/>
            <rFont val="Tahoma"/>
            <family val="2"/>
          </rPr>
          <t xml:space="preserve">
308,0: indeks 2022, 
113,5: Gns pris 114 i 2022,
 105,4: Gns pris 114 i 2021</t>
        </r>
      </text>
    </comment>
    <comment ref="B20" authorId="0" shapeId="0" xr:uid="{534EED94-B800-4B3E-9970-51753BEE5024}">
      <text>
        <r>
          <rPr>
            <b/>
            <sz val="9"/>
            <color indexed="81"/>
            <rFont val="Tahoma"/>
            <family val="2"/>
          </rPr>
          <t>Helle Nonnemann Bonde:</t>
        </r>
        <r>
          <rPr>
            <sz val="9"/>
            <color indexed="81"/>
            <rFont val="Tahoma"/>
            <family val="2"/>
          </rPr>
          <t xml:space="preserve">
303,6: indeks 2021, 
105,4: Gns pris 114 i 2021,
 103,9: Gns pris 114 i 2020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Nonnemann Bonde</author>
  </authors>
  <commentList>
    <comment ref="B18" authorId="0" shapeId="0" xr:uid="{C0BDD80B-9096-4FEC-9683-40F9FDE36E4D}">
      <text>
        <r>
          <rPr>
            <b/>
            <sz val="9"/>
            <color indexed="81"/>
            <rFont val="Tahoma"/>
            <family val="2"/>
          </rPr>
          <t>Helle Nonnemann Bonde:</t>
        </r>
        <r>
          <rPr>
            <sz val="9"/>
            <color indexed="81"/>
            <rFont val="Tahoma"/>
            <family val="2"/>
          </rPr>
          <t xml:space="preserve">
331,7: indeks 2023, 
118,0: Gns pris 114 i 2023,
 113,5: Gns pris 114 i 2022</t>
        </r>
      </text>
    </comment>
    <comment ref="B19" authorId="0" shapeId="0" xr:uid="{B2EBF5F0-C2ED-46C5-B0F9-195762462967}">
      <text>
        <r>
          <rPr>
            <b/>
            <sz val="9"/>
            <color indexed="81"/>
            <rFont val="Tahoma"/>
            <family val="2"/>
          </rPr>
          <t>Helle Nonnemann Bonde:</t>
        </r>
        <r>
          <rPr>
            <sz val="9"/>
            <color indexed="81"/>
            <rFont val="Tahoma"/>
            <family val="2"/>
          </rPr>
          <t xml:space="preserve">
308,0: indeks 2022, 
113,5: Gns pris 114 i 2022,
 105,4: Gns pris 114 i 2021</t>
        </r>
      </text>
    </comment>
    <comment ref="B20" authorId="0" shapeId="0" xr:uid="{93440181-9265-4D76-ABEB-9D02FEDCF6F3}">
      <text>
        <r>
          <rPr>
            <b/>
            <sz val="9"/>
            <color indexed="81"/>
            <rFont val="Tahoma"/>
            <family val="2"/>
          </rPr>
          <t>Helle Nonnemann Bonde:</t>
        </r>
        <r>
          <rPr>
            <sz val="9"/>
            <color indexed="81"/>
            <rFont val="Tahoma"/>
            <family val="2"/>
          </rPr>
          <t xml:space="preserve">
303,6: indeks 2021, 
105,4: Gns pris 114 i 2021,
 103,9: Gns pris 114 i 2020</t>
        </r>
      </text>
    </comment>
  </commentList>
</comments>
</file>

<file path=xl/sharedStrings.xml><?xml version="1.0" encoding="utf-8"?>
<sst xmlns="http://schemas.openxmlformats.org/spreadsheetml/2006/main" count="165" uniqueCount="70">
  <si>
    <t>Normalbus</t>
  </si>
  <si>
    <t>Busalder</t>
  </si>
  <si>
    <t>Index</t>
  </si>
  <si>
    <t>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</si>
  <si>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</si>
  <si>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</si>
  <si>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</si>
  <si>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</si>
  <si>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</si>
  <si>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</si>
  <si>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</si>
  <si>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</si>
  <si>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</si>
  <si>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</si>
  <si>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</si>
  <si>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</si>
  <si>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13,5-14</t>
  </si>
  <si>
    <t>Bus</t>
  </si>
  <si>
    <t>Lavgulvsbus</t>
  </si>
  <si>
    <t>Laventrebus</t>
  </si>
  <si>
    <t>Ledbus</t>
  </si>
  <si>
    <t>Faktor 1,15</t>
  </si>
  <si>
    <t>Faktor 1,5/1,3</t>
  </si>
  <si>
    <t>Faktor 1,4/1,3</t>
  </si>
  <si>
    <t>Faktor 1,95/1,3</t>
  </si>
  <si>
    <t>1. indregi-</t>
  </si>
  <si>
    <t>strering</t>
  </si>
  <si>
    <t>Nyvognspriser/anskaffelsespriser efter 1. indregistrerings år</t>
  </si>
  <si>
    <t>Priserne gælder for hele kalenderåret, uanset datoen for bussens 1. indregistrering</t>
  </si>
  <si>
    <t>Den månedlige afskrivning = anskaffelsesprisen/144</t>
  </si>
  <si>
    <t>overtagelsestidspunktet</t>
  </si>
  <si>
    <t>Nedskrivningen af nyvognspriserne sker med antal hele måneder fra datoen for 1. indregistrering og frem til</t>
  </si>
  <si>
    <t>OBS! Nogle trafikselskaber reducerer nedennævnte priser til 85% - Se bilaget i de individuelle kontrakter</t>
  </si>
  <si>
    <t>Basis</t>
  </si>
  <si>
    <t>Normalbus * faktor</t>
  </si>
  <si>
    <t>Beskrivelse af indeks</t>
  </si>
  <si>
    <t>=118,5*1,063*1,166/0,51</t>
  </si>
  <si>
    <t>=117,1*1,063*1,166/0,51</t>
  </si>
  <si>
    <t>=115,4*1,063*1,166/0,51</t>
  </si>
  <si>
    <t>=114,8*1,063*1,166/0,51</t>
  </si>
  <si>
    <t>=113,9*1,063*1,166/0,51</t>
  </si>
  <si>
    <t>=117,6*1,166/0,51</t>
  </si>
  <si>
    <t>=113,2*1,166/0,51</t>
  </si>
  <si>
    <t>=108,8*1,166/0,51</t>
  </si>
  <si>
    <t>=123,9/0,51</t>
  </si>
  <si>
    <t>=121,1/0,51</t>
  </si>
  <si>
    <t>=121/0,51</t>
  </si>
  <si>
    <t>Basis 1992</t>
  </si>
  <si>
    <t>Note</t>
  </si>
  <si>
    <t>1. Indregistrering</t>
  </si>
  <si>
    <t>Nedskrivningen af nyvognspriserne sker med antal hele måneder fra datoen for 1. indregistrering og frem til  overtagelsestidspunktet</t>
  </si>
  <si>
    <t>.</t>
  </si>
  <si>
    <r>
      <t xml:space="preserve">Busovertaglesespriserne for 2015: </t>
    </r>
    <r>
      <rPr>
        <b/>
        <sz val="12"/>
        <rFont val="Arial MT"/>
      </rPr>
      <t>PRIS10 udgår</t>
    </r>
    <r>
      <rPr>
        <sz val="12"/>
        <rFont val="Arial MT"/>
      </rPr>
      <t xml:space="preserve"> og indeks er beregnet  ud fra </t>
    </r>
    <r>
      <rPr>
        <b/>
        <sz val="12"/>
        <rFont val="Arial MT"/>
      </rPr>
      <t>PRIS7 i alt</t>
    </r>
    <r>
      <rPr>
        <sz val="12"/>
        <rFont val="Arial MT"/>
      </rPr>
      <t xml:space="preserve">  - udviklingen i PRIS7 fra 2013 til 2014</t>
    </r>
  </si>
  <si>
    <t>=288,0*132,3/131,3</t>
  </si>
  <si>
    <t>13 år</t>
  </si>
  <si>
    <t>=290,2*133,2/132,3</t>
  </si>
  <si>
    <t>Ny Bus</t>
  </si>
  <si>
    <t>=292,2*100,5/100</t>
  </si>
  <si>
    <r>
      <t xml:space="preserve">Busovertaglesespriserne for 2017: </t>
    </r>
    <r>
      <rPr>
        <b/>
        <sz val="12"/>
        <rFont val="Arial MT"/>
      </rPr>
      <t>PRIS7 udgår</t>
    </r>
    <r>
      <rPr>
        <sz val="12"/>
        <rFont val="Arial MT"/>
      </rPr>
      <t xml:space="preserve"> og indeks er beregnet  ud fra </t>
    </r>
    <r>
      <rPr>
        <b/>
        <sz val="12"/>
        <rFont val="Arial MT"/>
      </rPr>
      <t>PRIS114 i alt</t>
    </r>
    <r>
      <rPr>
        <sz val="12"/>
        <rFont val="Arial MT"/>
      </rPr>
      <t xml:space="preserve">  - udviklingen i PRIS114 fra 2015 til 2016</t>
    </r>
  </si>
  <si>
    <r>
      <t xml:space="preserve">Gns. PRIS10DK i året før 1. indregistrering. Ganget med korrektionsfaktorer.
</t>
    </r>
    <r>
      <rPr>
        <b/>
        <sz val="12"/>
        <rFont val="Arial MT"/>
      </rPr>
      <t>OBS! Fra 2017 udgår og pris  PRIS7  og erstattes af PRIS114 I alt</t>
    </r>
  </si>
  <si>
    <t>*2018</t>
  </si>
  <si>
    <t>* Busovertagelsespriser for 2018, er blevet opdateret i juli 2019 pga. en decimalfejl i regnearket. Ændringen vedr. kun linjen med år 2018</t>
  </si>
  <si>
    <t>Denne fane indeholder formler, så det er nok den Mariann har arbejdet i</t>
  </si>
  <si>
    <t>Denne fane svarer vist til fane A, hvor formler er forklaret med tekst</t>
  </si>
  <si>
    <r>
      <t>=297,2*</t>
    </r>
    <r>
      <rPr>
        <sz val="12"/>
        <color theme="6" tint="-0.249977111117893"/>
        <rFont val="Arial MT"/>
      </rPr>
      <t>102,6</t>
    </r>
    <r>
      <rPr>
        <sz val="12"/>
        <rFont val="Arial MT"/>
      </rPr>
      <t>/</t>
    </r>
    <r>
      <rPr>
        <sz val="12"/>
        <color theme="9" tint="-0.249977111117893"/>
        <rFont val="Arial MT"/>
      </rPr>
      <t>101,7</t>
    </r>
  </si>
  <si>
    <r>
      <t>=293,7*</t>
    </r>
    <r>
      <rPr>
        <sz val="12"/>
        <color theme="9" tint="-0.249977111117893"/>
        <rFont val="Arial MT"/>
      </rPr>
      <t>101,7</t>
    </r>
    <r>
      <rPr>
        <sz val="12"/>
        <rFont val="Arial MT"/>
      </rPr>
      <t>/100,5</t>
    </r>
  </si>
  <si>
    <r>
      <t>=</t>
    </r>
    <r>
      <rPr>
        <sz val="12"/>
        <color theme="7" tint="0.39997558519241921"/>
        <rFont val="Arial MT"/>
      </rPr>
      <t>299,8</t>
    </r>
    <r>
      <rPr>
        <sz val="12"/>
        <rFont val="Arial MT"/>
      </rPr>
      <t>*</t>
    </r>
    <r>
      <rPr>
        <sz val="12"/>
        <color theme="5" tint="0.39997558519241921"/>
        <rFont val="Arial MT"/>
      </rPr>
      <t>103,5</t>
    </r>
    <r>
      <rPr>
        <sz val="12"/>
        <rFont val="Arial MT"/>
      </rPr>
      <t>/</t>
    </r>
    <r>
      <rPr>
        <sz val="12"/>
        <color theme="6" tint="-0.249977111117893"/>
        <rFont val="Arial MT"/>
      </rPr>
      <t>102,6</t>
    </r>
  </si>
  <si>
    <r>
      <t>=</t>
    </r>
    <r>
      <rPr>
        <sz val="12"/>
        <color rgb="FF7030A0"/>
        <rFont val="Arial MT"/>
      </rPr>
      <t>302,4</t>
    </r>
    <r>
      <rPr>
        <sz val="12"/>
        <rFont val="Arial MT"/>
      </rPr>
      <t>*</t>
    </r>
    <r>
      <rPr>
        <sz val="12"/>
        <color rgb="FF0070C0"/>
        <rFont val="Arial MT"/>
      </rPr>
      <t>103,9</t>
    </r>
    <r>
      <rPr>
        <sz val="12"/>
        <rFont val="Arial MT"/>
      </rPr>
      <t>/</t>
    </r>
    <r>
      <rPr>
        <sz val="12"/>
        <color theme="5" tint="0.39997558519241921"/>
        <rFont val="Arial MT"/>
      </rPr>
      <t>103,5</t>
    </r>
  </si>
  <si>
    <r>
      <t>=</t>
    </r>
    <r>
      <rPr>
        <sz val="12"/>
        <color theme="9"/>
        <rFont val="Arial MT"/>
      </rPr>
      <t>303,6</t>
    </r>
    <r>
      <rPr>
        <sz val="12"/>
        <rFont val="Arial MT"/>
      </rPr>
      <t>*105,4/</t>
    </r>
    <r>
      <rPr>
        <sz val="12"/>
        <color rgb="FF0070C0"/>
        <rFont val="Arial MT"/>
      </rPr>
      <t>103,9</t>
    </r>
  </si>
  <si>
    <r>
      <t>=308,0*</t>
    </r>
    <r>
      <rPr>
        <sz val="12"/>
        <color rgb="FF92D050"/>
        <rFont val="Arial MT"/>
      </rPr>
      <t>113,5</t>
    </r>
    <r>
      <rPr>
        <sz val="12"/>
        <color rgb="FFFF0000"/>
        <rFont val="Arial MT"/>
      </rPr>
      <t>/</t>
    </r>
    <r>
      <rPr>
        <sz val="12"/>
        <color theme="1"/>
        <rFont val="Arial MT"/>
      </rPr>
      <t>105,4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</si>
</sst>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#,##0.0"/>
    <numFmt numFmtId="168" formatCode="_ * #,##0.0_ ;_ * \-#,##0.0_ ;_ * &quot;-&quot;??_ ;_ @_ "/>
  </numFmts>
  <fonts count="19">
    <font>
      <sz val="12"/>
      <name val="Arial MT"/>
    </font>
    <font>
      <b/>
      <sz val="12"/>
      <name val="Arial MT"/>
    </font>
    <font>
      <b/>
      <sz val="14"/>
      <name val="Arial MT"/>
    </font>
    <font>
      <sz val="12"/>
      <name val="Arial MT"/>
    </font>
    <font>
      <b/>
      <sz val="10"/>
      <name val="Arial MT"/>
    </font>
    <font>
      <sz val="10"/>
      <name val="Arial MT"/>
    </font>
    <font>
      <sz val="12"/>
      <color theme="3" tint="0.59999389629810485"/>
      <name val="Arial MT"/>
    </font>
    <font>
      <sz val="12"/>
      <color theme="7" tint="0.39997558519241921"/>
      <name val="Arial MT"/>
    </font>
    <font>
      <sz val="12"/>
      <color theme="5" tint="0.39997558519241921"/>
      <name val="Arial MT"/>
    </font>
    <font>
      <sz val="12"/>
      <color theme="6" tint="-0.249977111117893"/>
      <name val="Arial MT"/>
    </font>
    <font>
      <sz val="12"/>
      <color theme="9" tint="-0.249977111117893"/>
      <name val="Arial MT"/>
    </font>
    <font>
      <sz val="12"/>
      <color rgb="FF7030A0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9"/>
      <name val="Arial MT"/>
    </font>
    <font>
      <sz val="12"/>
      <color rgb="FF0070C0"/>
      <name val="Arial MT"/>
    </font>
    <font>
      <sz val="12"/>
      <color rgb="FFFF0000"/>
      <name val="Arial MT"/>
    </font>
    <font>
      <sz val="12"/>
      <color theme="1"/>
      <name val="Arial MT"/>
    </font>
    <font>
      <sz val="12"/>
      <color rgb="FF92D050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37" fontId="0" fillId="0" borderId="3" xfId="0" applyNumberForma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0" fillId="0" borderId="2" xfId="0" applyNumberForma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7" fontId="0" fillId="0" borderId="0" xfId="0" applyNumberForma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0" fillId="0" borderId="8" xfId="0" applyBorder="1"/>
    <xf numFmtId="165" fontId="0" fillId="0" borderId="9" xfId="0" applyNumberFormat="1" applyBorder="1"/>
    <xf numFmtId="0" fontId="0" fillId="0" borderId="4" xfId="0" applyBorder="1" applyAlignment="1">
      <alignment horizontal="center"/>
    </xf>
    <xf numFmtId="0" fontId="0" fillId="0" borderId="10" xfId="0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7" fontId="0" fillId="2" borderId="3" xfId="0" applyNumberFormat="1" applyFill="1" applyBorder="1"/>
    <xf numFmtId="165" fontId="0" fillId="0" borderId="2" xfId="0" quotePrefix="1" applyNumberFormat="1" applyBorder="1"/>
    <xf numFmtId="165" fontId="0" fillId="0" borderId="11" xfId="0" applyNumberFormat="1" applyBorder="1"/>
    <xf numFmtId="0" fontId="0" fillId="0" borderId="12" xfId="0" applyBorder="1"/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horizontal="center"/>
    </xf>
    <xf numFmtId="37" fontId="0" fillId="0" borderId="1" xfId="0" applyNumberFormat="1" applyBorder="1"/>
    <xf numFmtId="37" fontId="0" fillId="2" borderId="1" xfId="0" applyNumberFormat="1" applyFill="1" applyBorder="1"/>
    <xf numFmtId="37" fontId="0" fillId="2" borderId="13" xfId="0" applyNumberFormat="1" applyFill="1" applyBorder="1"/>
    <xf numFmtId="37" fontId="0" fillId="2" borderId="14" xfId="0" applyNumberFormat="1" applyFill="1" applyBorder="1"/>
    <xf numFmtId="0" fontId="0" fillId="0" borderId="15" xfId="0" applyBorder="1"/>
    <xf numFmtId="0" fontId="1" fillId="0" borderId="0" xfId="0" applyFont="1"/>
    <xf numFmtId="0" fontId="0" fillId="0" borderId="16" xfId="0" applyBorder="1"/>
    <xf numFmtId="0" fontId="0" fillId="0" borderId="17" xfId="0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165" fontId="0" fillId="0" borderId="20" xfId="0" applyNumberFormat="1" applyBorder="1"/>
    <xf numFmtId="165" fontId="0" fillId="0" borderId="21" xfId="0" quotePrefix="1" applyNumberFormat="1" applyBorder="1"/>
    <xf numFmtId="0" fontId="0" fillId="0" borderId="21" xfId="0" applyBorder="1"/>
    <xf numFmtId="37" fontId="0" fillId="0" borderId="22" xfId="0" applyNumberFormat="1" applyBorder="1"/>
    <xf numFmtId="37" fontId="0" fillId="2" borderId="22" xfId="0" applyNumberFormat="1" applyFill="1" applyBorder="1"/>
    <xf numFmtId="37" fontId="0" fillId="2" borderId="23" xfId="0" applyNumberFormat="1" applyFill="1" applyBorder="1"/>
    <xf numFmtId="0" fontId="0" fillId="0" borderId="10" xfId="0" applyBorder="1" applyAlignment="1">
      <alignment horizontal="center"/>
    </xf>
    <xf numFmtId="165" fontId="0" fillId="0" borderId="10" xfId="0" applyNumberFormat="1" applyBorder="1"/>
    <xf numFmtId="0" fontId="0" fillId="0" borderId="10" xfId="0" applyBorder="1" applyAlignment="1">
      <alignment horizontal="right" vertical="center"/>
    </xf>
    <xf numFmtId="166" fontId="0" fillId="0" borderId="10" xfId="1" applyNumberFormat="1" applyFont="1" applyBorder="1" applyAlignment="1">
      <alignment horizontal="right" vertical="center" wrapText="1"/>
    </xf>
    <xf numFmtId="165" fontId="0" fillId="0" borderId="10" xfId="0" quotePrefix="1" applyNumberFormat="1" applyBorder="1" applyAlignment="1">
      <alignment horizontal="left" vertical="center" wrapText="1"/>
    </xf>
    <xf numFmtId="37" fontId="0" fillId="2" borderId="19" xfId="0" applyNumberFormat="1" applyFill="1" applyBorder="1"/>
    <xf numFmtId="0" fontId="1" fillId="0" borderId="10" xfId="0" applyFont="1" applyBorder="1" applyAlignment="1">
      <alignment horizontal="center"/>
    </xf>
    <xf numFmtId="37" fontId="0" fillId="0" borderId="10" xfId="0" applyNumberFormat="1" applyBorder="1"/>
    <xf numFmtId="37" fontId="0" fillId="0" borderId="10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37" fontId="0" fillId="0" borderId="15" xfId="0" applyNumberFormat="1" applyBorder="1"/>
    <xf numFmtId="37" fontId="0" fillId="0" borderId="15" xfId="0" applyNumberFormat="1" applyBorder="1" applyAlignment="1">
      <alignment horizontal="right"/>
    </xf>
    <xf numFmtId="1" fontId="0" fillId="0" borderId="24" xfId="0" applyNumberFormat="1" applyBorder="1"/>
    <xf numFmtId="0" fontId="0" fillId="0" borderId="8" xfId="0" applyBorder="1" applyAlignment="1">
      <alignment horizontal="center"/>
    </xf>
    <xf numFmtId="165" fontId="0" fillId="0" borderId="25" xfId="0" applyNumberFormat="1" applyBorder="1"/>
    <xf numFmtId="165" fontId="0" fillId="0" borderId="25" xfId="0" applyNumberFormat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167" fontId="0" fillId="0" borderId="10" xfId="0" applyNumberFormat="1" applyBorder="1"/>
    <xf numFmtId="165" fontId="0" fillId="0" borderId="10" xfId="0" quotePrefix="1" applyNumberFormat="1" applyBorder="1" applyAlignment="1">
      <alignment vertical="center" wrapText="1"/>
    </xf>
    <xf numFmtId="0" fontId="0" fillId="0" borderId="10" xfId="0" applyBorder="1" applyAlignment="1">
      <alignment horizontal="right"/>
    </xf>
    <xf numFmtId="37" fontId="0" fillId="0" borderId="10" xfId="0" applyNumberFormat="1" applyBorder="1" applyAlignment="1">
      <alignment horizontal="right"/>
    </xf>
    <xf numFmtId="164" fontId="0" fillId="0" borderId="0" xfId="1" applyFont="1"/>
    <xf numFmtId="166" fontId="0" fillId="3" borderId="10" xfId="1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0" fillId="3" borderId="0" xfId="0" applyFill="1"/>
    <xf numFmtId="37" fontId="0" fillId="3" borderId="10" xfId="0" applyNumberFormat="1" applyFill="1" applyBorder="1"/>
    <xf numFmtId="165" fontId="0" fillId="0" borderId="17" xfId="0" quotePrefix="1" applyNumberFormat="1" applyBorder="1"/>
    <xf numFmtId="165" fontId="0" fillId="0" borderId="26" xfId="0" quotePrefix="1" applyNumberFormat="1" applyBorder="1" applyAlignment="1">
      <alignment vertical="center" wrapText="1"/>
    </xf>
    <xf numFmtId="165" fontId="0" fillId="0" borderId="0" xfId="0" applyNumberFormat="1"/>
    <xf numFmtId="37" fontId="0" fillId="2" borderId="4" xfId="0" applyNumberFormat="1" applyFill="1" applyBorder="1" applyAlignment="1">
      <alignment horizontal="center"/>
    </xf>
    <xf numFmtId="37" fontId="0" fillId="2" borderId="6" xfId="0" applyNumberFormat="1" applyFill="1" applyBorder="1" applyAlignment="1">
      <alignment horizontal="center"/>
    </xf>
    <xf numFmtId="168" fontId="0" fillId="0" borderId="0" xfId="1" applyNumberFormat="1" applyFont="1"/>
    <xf numFmtId="166" fontId="0" fillId="0" borderId="0" xfId="1" applyNumberFormat="1" applyFont="1"/>
    <xf numFmtId="0" fontId="6" fillId="0" borderId="0" xfId="0" applyFont="1"/>
    <xf numFmtId="165" fontId="11" fillId="0" borderId="10" xfId="0" applyNumberFormat="1" applyFont="1" applyBorder="1"/>
    <xf numFmtId="165" fontId="7" fillId="0" borderId="10" xfId="0" applyNumberFormat="1" applyFont="1" applyBorder="1"/>
    <xf numFmtId="165" fontId="14" fillId="0" borderId="10" xfId="0" applyNumberFormat="1" applyFont="1" applyBorder="1"/>
    <xf numFmtId="2" fontId="0" fillId="0" borderId="0" xfId="0" applyNumberFormat="1"/>
    <xf numFmtId="165" fontId="16" fillId="0" borderId="10" xfId="0" applyNumberFormat="1" applyFont="1" applyBorder="1"/>
    <xf numFmtId="165" fontId="16" fillId="0" borderId="26" xfId="0" quotePrefix="1" applyNumberFormat="1" applyFont="1" applyBorder="1" applyAlignment="1">
      <alignment vertical="center" wrapText="1"/>
    </xf>
    <xf numFmtId="165" fontId="0" fillId="0" borderId="10" xfId="0" applyNumberFormat="1" applyFill="1" applyBorder="1"/>
    <xf numFmtId="0" fontId="0" fillId="0" borderId="10" xfId="0" applyFont="1" applyFill="1" applyBorder="1" applyAlignment="1">
      <alignment horizontal="right"/>
    </xf>
    <xf numFmtId="0" fontId="0" fillId="2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cob Nissen Boldt" id="{054B30B7-0683-41CB-A3FC-33706F8DF931}" userId="S::::1e0461ac-e88f-49de-82c6-7e0758e3b5b4" providerId="AD"/>
  <person displayName="Helle Nonnemann Bonde" id="{84508548-5533-477E-BB25-2DE19FFC03B9}" userId="S::hnb@fynbus.dk::53f52975-93af-4ce4-855d-60e9dead56c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7" dT="2022-06-13T07:22:10.43" personId="{84508548-5533-477E-BB25-2DE19FFC03B9}" id="{FD15F576-F78F-4B9A-9ACF-185130908A09}">
    <text>105,4 er års gennemsnit pris 114 i 2021. De øvrige indeks er fra beregningen sidste år</text>
  </threadedComment>
  <threadedComment ref="C17" dT="2023-05-15T11:08:32.12" personId="{054B30B7-0683-41CB-A3FC-33706F8DF931}" id="{D4E1C5AF-299B-4E1F-A07D-DFE0D1577BB5}" parentId="{FD15F576-F78F-4B9A-9ACF-185130908A09}">
    <text>113,5 er års gennemsnit pris 114 i 2022. De øvrige indeks er fra beregningen sidste år</text>
  </threadedComment>
  <threadedComment ref="C18" dT="2022-06-13T07:22:10.43" personId="{84508548-5533-477E-BB25-2DE19FFC03B9}" id="{6D4A07E9-E464-4531-A9FD-D655DA2FC0DB}">
    <text>105,4 er års gennemsnit pris 114 i 2021. De øvrige indeks er fra beregningen sidste år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opLeftCell="A10" workbookViewId="0">
      <selection activeCell="A34" sqref="A34:XFD36"/>
    </sheetView>
  </sheetViews>
  <sheetFormatPr defaultColWidth="9.77734375" defaultRowHeight="15"/>
  <cols>
    <col min="3" max="3" width="21.6640625" customWidth="1"/>
    <col min="4" max="4" width="13.77734375" customWidth="1"/>
    <col min="5" max="5" width="11.5546875" customWidth="1"/>
    <col min="6" max="6" width="14" customWidth="1"/>
    <col min="7" max="7" width="14.77734375" customWidth="1"/>
    <col min="8" max="8" width="16.77734375" customWidth="1"/>
    <col min="9" max="9" width="18" customWidth="1"/>
    <col min="10" max="10" width="14.6640625" bestFit="1" customWidth="1"/>
    <col min="11" max="11" width="14.33203125" bestFit="1" customWidth="1"/>
    <col min="12" max="12" width="10.44140625" bestFit="1" customWidth="1"/>
  </cols>
  <sheetData>
    <row r="1" spans="1:11" ht="15.75" customHeight="1"/>
    <row r="2" spans="1:11" ht="18" customHeight="1">
      <c r="A2" t="s">
        <v>27</v>
      </c>
    </row>
    <row r="3" spans="1:11">
      <c r="A3" t="s">
        <v>28</v>
      </c>
      <c r="K3" s="76" t="s">
        <v>63</v>
      </c>
    </row>
    <row r="4" spans="1:11">
      <c r="A4" t="s">
        <v>50</v>
      </c>
    </row>
    <row r="6" spans="1:11">
      <c r="A6" t="s">
        <v>29</v>
      </c>
    </row>
    <row r="8" spans="1:11">
      <c r="A8" t="s">
        <v>32</v>
      </c>
    </row>
    <row r="10" spans="1:11" ht="15.75">
      <c r="A10" t="s">
        <v>52</v>
      </c>
    </row>
    <row r="11" spans="1:11" ht="15.75">
      <c r="A11" t="s">
        <v>58</v>
      </c>
    </row>
    <row r="12" spans="1:11" ht="15.75">
      <c r="A12" s="32"/>
      <c r="B12" s="32"/>
      <c r="C12" s="32"/>
      <c r="D12" s="32"/>
      <c r="E12" s="32"/>
      <c r="F12" s="32"/>
    </row>
    <row r="13" spans="1:11" ht="21.95" customHeight="1">
      <c r="A13" s="5" t="s">
        <v>1</v>
      </c>
      <c r="B13" s="6" t="s">
        <v>2</v>
      </c>
      <c r="C13" s="6" t="s">
        <v>35</v>
      </c>
      <c r="D13" s="6" t="s">
        <v>3</v>
      </c>
      <c r="E13" s="8" t="s">
        <v>0</v>
      </c>
      <c r="F13" s="18" t="s">
        <v>17</v>
      </c>
      <c r="G13" s="18" t="s">
        <v>18</v>
      </c>
      <c r="H13" s="18" t="s">
        <v>19</v>
      </c>
      <c r="I13" s="18" t="s">
        <v>20</v>
      </c>
      <c r="K13" s="64"/>
    </row>
    <row r="14" spans="1:11" ht="26.25" customHeight="1">
      <c r="A14" s="1"/>
      <c r="B14" s="2"/>
      <c r="C14" s="2"/>
      <c r="D14" s="25" t="s">
        <v>49</v>
      </c>
      <c r="E14" s="9"/>
      <c r="F14" s="19" t="s">
        <v>16</v>
      </c>
      <c r="G14" s="19"/>
      <c r="H14" s="19"/>
      <c r="I14" s="19"/>
    </row>
    <row r="15" spans="1:11" ht="21" customHeight="1">
      <c r="A15" s="1"/>
      <c r="B15" s="2"/>
      <c r="C15" s="2"/>
      <c r="D15" s="24"/>
      <c r="E15" s="10"/>
      <c r="F15" s="72" t="s">
        <v>21</v>
      </c>
      <c r="G15" s="72" t="s">
        <v>22</v>
      </c>
      <c r="H15" s="72" t="s">
        <v>23</v>
      </c>
      <c r="I15" s="73" t="s">
        <v>24</v>
      </c>
      <c r="K15" s="80"/>
    </row>
    <row r="16" spans="1:11" ht="92.25">
      <c r="A16" s="56" t="s">
        <v>48</v>
      </c>
      <c r="B16" s="57"/>
      <c r="C16" s="58" t="s">
        <v>59</v>
      </c>
      <c r="D16" s="59" t="s">
        <v>51</v>
      </c>
      <c r="E16" s="46">
        <f>$E$37/$B$37*B16</f>
        <v>0</v>
      </c>
      <c r="F16" s="85" t="s">
        <v>34</v>
      </c>
      <c r="G16" s="86"/>
      <c r="H16" s="86"/>
      <c r="I16" s="87"/>
    </row>
    <row r="17" spans="1:12">
      <c r="A17" s="43" t="s">
        <v>56</v>
      </c>
      <c r="B17" s="44">
        <f>308*113.5/105.4</f>
        <v>331.66982922201134</v>
      </c>
      <c r="C17" s="82" t="s">
        <v>69</v>
      </c>
      <c r="D17" s="45">
        <v>2023</v>
      </c>
      <c r="E17" s="46">
        <f>$E$37/$B$37*B17</f>
        <v>2188684.1522264709</v>
      </c>
      <c r="F17" s="48">
        <f t="shared" ref="F17:F24" si="0">E17*1.15</f>
        <v>2516986.7750604413</v>
      </c>
      <c r="G17" s="29">
        <f t="shared" ref="G17:G24" si="1">E17*1.5/1.3</f>
        <v>2525404.7910305434</v>
      </c>
      <c r="H17" s="29">
        <f t="shared" ref="H17:H24" si="2">E17*1.4/1.3</f>
        <v>2357044.4716285067</v>
      </c>
      <c r="I17" s="30">
        <f t="shared" ref="I17:I24" si="3">E17*1.5</f>
        <v>3283026.2283397065</v>
      </c>
      <c r="K17" s="74"/>
    </row>
    <row r="18" spans="1:12">
      <c r="A18" s="43" t="s">
        <v>4</v>
      </c>
      <c r="B18" s="81">
        <f>303.6*105.4/103.9</f>
        <v>307.9830606352262</v>
      </c>
      <c r="C18" s="70" t="s">
        <v>68</v>
      </c>
      <c r="D18" s="45">
        <v>2022</v>
      </c>
      <c r="E18" s="46">
        <f>$E$37/$B$37*B18</f>
        <v>2032375.5270344876</v>
      </c>
      <c r="F18" s="48">
        <f t="shared" ref="F18" si="4">E18*1.15</f>
        <v>2337231.8560896604</v>
      </c>
      <c r="G18" s="29">
        <f t="shared" ref="G18" si="5">E18*1.5/1.3</f>
        <v>2345048.6850397931</v>
      </c>
      <c r="H18" s="29">
        <f t="shared" ref="H18" si="6">E18*1.4/1.3</f>
        <v>2188712.1060371404</v>
      </c>
      <c r="I18" s="30">
        <f t="shared" ref="I18" si="7">E18*1.5</f>
        <v>3048563.2905517314</v>
      </c>
      <c r="K18" s="74"/>
    </row>
    <row r="19" spans="1:12">
      <c r="A19" s="43" t="s">
        <v>5</v>
      </c>
      <c r="B19" s="79">
        <f>302.4*103.9/103.5</f>
        <v>303.56869565217391</v>
      </c>
      <c r="C19" s="70" t="s">
        <v>67</v>
      </c>
      <c r="D19" s="45">
        <v>2021</v>
      </c>
      <c r="E19" s="46">
        <f>$E$37/$B$37*B19</f>
        <v>2003245.1997351579</v>
      </c>
      <c r="F19" s="48">
        <f t="shared" ref="F19" si="8">E19*1.15</f>
        <v>2303731.9796954314</v>
      </c>
      <c r="G19" s="29">
        <f t="shared" ref="G19" si="9">E19*1.5/1.3</f>
        <v>2311436.7689251821</v>
      </c>
      <c r="H19" s="29">
        <f t="shared" ref="H19" si="10">E19*1.4/1.3</f>
        <v>2157340.9843301699</v>
      </c>
      <c r="I19" s="30">
        <f t="shared" ref="I19" si="11">E19*1.5</f>
        <v>3004867.7996027367</v>
      </c>
      <c r="K19" s="74"/>
    </row>
    <row r="20" spans="1:12">
      <c r="A20" s="43" t="s">
        <v>6</v>
      </c>
      <c r="B20" s="77">
        <f>299.8*103.5/102.6</f>
        <v>302.42982456140356</v>
      </c>
      <c r="C20" s="61" t="s">
        <v>66</v>
      </c>
      <c r="D20" s="45">
        <v>2020</v>
      </c>
      <c r="E20" s="46">
        <f>$E$37/$B$37*B20</f>
        <v>1995729.8067503788</v>
      </c>
      <c r="F20" s="48">
        <f t="shared" si="0"/>
        <v>2295089.2777629355</v>
      </c>
      <c r="G20" s="29">
        <f t="shared" si="1"/>
        <v>2302765.1616350524</v>
      </c>
      <c r="H20" s="29">
        <f t="shared" si="2"/>
        <v>2149247.4841927155</v>
      </c>
      <c r="I20" s="30">
        <f t="shared" si="3"/>
        <v>2993594.7101255683</v>
      </c>
      <c r="K20" s="64"/>
    </row>
    <row r="21" spans="1:12" ht="21.95" customHeight="1">
      <c r="A21" s="26" t="s">
        <v>7</v>
      </c>
      <c r="B21" s="78">
        <f>297.2*102.6/101.7</f>
        <v>299.83008849557518</v>
      </c>
      <c r="C21" s="61" t="s">
        <v>64</v>
      </c>
      <c r="D21" s="45">
        <v>2019</v>
      </c>
      <c r="E21" s="46">
        <f t="shared" ref="E21:E36" si="12">$E$37/$B$37*B21</f>
        <v>1978574.1880418668</v>
      </c>
      <c r="F21" s="48">
        <f t="shared" si="0"/>
        <v>2275360.3162481468</v>
      </c>
      <c r="G21" s="29">
        <f t="shared" si="1"/>
        <v>2282970.2169713848</v>
      </c>
      <c r="H21" s="29">
        <f t="shared" si="2"/>
        <v>2130772.2025066256</v>
      </c>
      <c r="I21" s="30">
        <f t="shared" si="3"/>
        <v>2967861.2820628001</v>
      </c>
      <c r="K21" s="75"/>
    </row>
    <row r="22" spans="1:12" ht="21.95" customHeight="1">
      <c r="A22" s="3" t="s">
        <v>8</v>
      </c>
      <c r="B22" s="60">
        <f>293.7*101.7/100.5</f>
        <v>297.20686567164182</v>
      </c>
      <c r="C22" s="61" t="s">
        <v>65</v>
      </c>
      <c r="D22" s="45" t="s">
        <v>60</v>
      </c>
      <c r="E22" s="65">
        <f t="shared" si="12"/>
        <v>1961263.5805742862</v>
      </c>
      <c r="F22" s="48">
        <f t="shared" si="0"/>
        <v>2255453.1176604289</v>
      </c>
      <c r="G22" s="29">
        <f t="shared" si="1"/>
        <v>2262996.4391241763</v>
      </c>
      <c r="H22" s="29">
        <f t="shared" si="2"/>
        <v>2112130.0098492312</v>
      </c>
      <c r="I22" s="30">
        <f t="shared" si="3"/>
        <v>2941895.3708614293</v>
      </c>
      <c r="K22" s="75"/>
    </row>
    <row r="23" spans="1:12" ht="21.95" customHeight="1">
      <c r="A23" s="3" t="s">
        <v>9</v>
      </c>
      <c r="B23" s="44">
        <f>292.2*100.5/100</f>
        <v>293.661</v>
      </c>
      <c r="C23" s="47" t="s">
        <v>57</v>
      </c>
      <c r="D23" s="45">
        <v>2017</v>
      </c>
      <c r="E23" s="46">
        <f t="shared" si="12"/>
        <v>1937864.4670050761</v>
      </c>
      <c r="F23" s="48">
        <f t="shared" si="0"/>
        <v>2228544.1370558375</v>
      </c>
      <c r="G23" s="29">
        <f t="shared" si="1"/>
        <v>2235997.4619289339</v>
      </c>
      <c r="H23" s="29">
        <f t="shared" si="2"/>
        <v>2086930.9644670049</v>
      </c>
      <c r="I23" s="30">
        <f t="shared" si="3"/>
        <v>2906796.7005076143</v>
      </c>
    </row>
    <row r="24" spans="1:12" ht="21.95" customHeight="1">
      <c r="A24" s="3" t="s">
        <v>10</v>
      </c>
      <c r="B24" s="44">
        <f>288*133.2/131.3</f>
        <v>292.16755521706011</v>
      </c>
      <c r="C24" s="47" t="s">
        <v>55</v>
      </c>
      <c r="D24" s="45">
        <v>2016</v>
      </c>
      <c r="E24" s="46">
        <f t="shared" si="12"/>
        <v>1928009.2476252697</v>
      </c>
      <c r="F24" s="48">
        <f t="shared" si="0"/>
        <v>2217210.6347690602</v>
      </c>
      <c r="G24" s="29">
        <f t="shared" si="1"/>
        <v>2224626.054952234</v>
      </c>
      <c r="H24" s="29">
        <f t="shared" si="2"/>
        <v>2076317.6512887517</v>
      </c>
      <c r="I24" s="30">
        <f t="shared" si="3"/>
        <v>2892013.8714379044</v>
      </c>
      <c r="L24" s="71"/>
    </row>
    <row r="25" spans="1:12" ht="21.95" customHeight="1">
      <c r="A25" s="3" t="s">
        <v>11</v>
      </c>
      <c r="B25" s="37">
        <f>288*132.3/131.3</f>
        <v>290.19345011424218</v>
      </c>
      <c r="C25" s="38" t="s">
        <v>53</v>
      </c>
      <c r="D25" s="39">
        <v>2015</v>
      </c>
      <c r="E25" s="40">
        <f t="shared" si="12"/>
        <v>1914982.1581142885</v>
      </c>
      <c r="F25" s="41">
        <f t="shared" ref="F25:F37" si="13">E25*1.15</f>
        <v>2202229.4818314314</v>
      </c>
      <c r="G25" s="41">
        <f t="shared" ref="G25:G37" si="14">E25*1.5/1.3</f>
        <v>2209594.7978241793</v>
      </c>
      <c r="H25" s="41">
        <f t="shared" ref="H25:H37" si="15">E25*1.4/1.3</f>
        <v>2062288.4779692336</v>
      </c>
      <c r="I25" s="42">
        <f t="shared" ref="I25:I37" si="16">E25*1.5</f>
        <v>2872473.2371714329</v>
      </c>
    </row>
    <row r="26" spans="1:12" ht="21.95" customHeight="1">
      <c r="A26" s="3" t="s">
        <v>12</v>
      </c>
      <c r="B26" s="7">
        <f>118.5*1.063*1.166/0.51</f>
        <v>287.99171176470583</v>
      </c>
      <c r="C26" s="21" t="s">
        <v>36</v>
      </c>
      <c r="D26" s="2">
        <v>2014</v>
      </c>
      <c r="E26" s="27">
        <f t="shared" si="12"/>
        <v>1900452.9202747084</v>
      </c>
      <c r="F26" s="28">
        <f t="shared" si="13"/>
        <v>2185520.8583159144</v>
      </c>
      <c r="G26" s="28">
        <f t="shared" si="14"/>
        <v>2192830.2926246636</v>
      </c>
      <c r="H26" s="28">
        <f t="shared" si="15"/>
        <v>2046641.6064496858</v>
      </c>
      <c r="I26" s="28">
        <f t="shared" si="16"/>
        <v>2850679.3804120626</v>
      </c>
    </row>
    <row r="27" spans="1:12" ht="21.95" customHeight="1">
      <c r="A27" s="3" t="s">
        <v>13</v>
      </c>
      <c r="B27" s="7">
        <f>117.1*1.063*1.166/0.51</f>
        <v>284.58927803921563</v>
      </c>
      <c r="C27" s="21" t="s">
        <v>37</v>
      </c>
      <c r="D27" s="2">
        <v>2013</v>
      </c>
      <c r="E27" s="4">
        <f t="shared" si="12"/>
        <v>1878000.3119339102</v>
      </c>
      <c r="F27" s="20">
        <f t="shared" si="13"/>
        <v>2159700.3587239967</v>
      </c>
      <c r="G27" s="20">
        <f t="shared" si="14"/>
        <v>2166923.4368468192</v>
      </c>
      <c r="H27" s="20">
        <f t="shared" si="15"/>
        <v>2022461.8743903649</v>
      </c>
      <c r="I27" s="20">
        <f t="shared" si="16"/>
        <v>2817000.4679008652</v>
      </c>
      <c r="K27" s="64"/>
    </row>
    <row r="28" spans="1:12" ht="21.95" customHeight="1">
      <c r="A28" s="3" t="s">
        <v>14</v>
      </c>
      <c r="B28" s="7">
        <f>115.4*1.063*1.166/0.51</f>
        <v>280.45775137254901</v>
      </c>
      <c r="C28" s="21" t="s">
        <v>38</v>
      </c>
      <c r="D28" s="2">
        <v>2012</v>
      </c>
      <c r="E28" s="4">
        <f t="shared" si="12"/>
        <v>1850736.430377227</v>
      </c>
      <c r="F28" s="20">
        <f t="shared" si="13"/>
        <v>2128346.8949338109</v>
      </c>
      <c r="G28" s="20">
        <f t="shared" si="14"/>
        <v>2135465.1119737234</v>
      </c>
      <c r="H28" s="20">
        <f t="shared" si="15"/>
        <v>1993100.7711754749</v>
      </c>
      <c r="I28" s="20">
        <f t="shared" si="16"/>
        <v>2776104.6455658404</v>
      </c>
    </row>
    <row r="29" spans="1:12" ht="21.95" customHeight="1">
      <c r="A29" s="3" t="s">
        <v>15</v>
      </c>
      <c r="B29" s="7">
        <f>114.8*1.063*1.166/0.51</f>
        <v>278.99956549019606</v>
      </c>
      <c r="C29" s="21" t="s">
        <v>39</v>
      </c>
      <c r="D29" s="13">
        <v>2011</v>
      </c>
      <c r="E29" s="4">
        <f t="shared" si="12"/>
        <v>1841113.8839454562</v>
      </c>
      <c r="F29" s="20">
        <f t="shared" si="13"/>
        <v>2117280.9665372744</v>
      </c>
      <c r="G29" s="20">
        <f t="shared" si="14"/>
        <v>2124362.173783219</v>
      </c>
      <c r="H29" s="20">
        <f t="shared" si="15"/>
        <v>1982738.0288643371</v>
      </c>
      <c r="I29" s="20">
        <f t="shared" si="16"/>
        <v>2761670.8259181846</v>
      </c>
    </row>
    <row r="30" spans="1:12" ht="21.95" hidden="1" customHeight="1">
      <c r="A30" s="3" t="s">
        <v>15</v>
      </c>
      <c r="B30" s="7">
        <f>113.9*1.063*1.166/0.51</f>
        <v>276.81228666666664</v>
      </c>
      <c r="C30" s="21" t="s">
        <v>40</v>
      </c>
      <c r="D30" s="13">
        <v>2010</v>
      </c>
      <c r="E30" s="4">
        <f t="shared" si="12"/>
        <v>1826680.0642978002</v>
      </c>
      <c r="F30" s="20">
        <f t="shared" si="13"/>
        <v>2100682.0739424699</v>
      </c>
      <c r="G30" s="20">
        <f t="shared" si="14"/>
        <v>2107707.7664974616</v>
      </c>
      <c r="H30" s="20">
        <f t="shared" si="15"/>
        <v>1967193.9153976308</v>
      </c>
      <c r="I30" s="20">
        <f t="shared" si="16"/>
        <v>2740020.0964467004</v>
      </c>
      <c r="J30" s="64"/>
    </row>
    <row r="31" spans="1:12" ht="21.95" hidden="1" customHeight="1">
      <c r="A31" s="3" t="s">
        <v>15</v>
      </c>
      <c r="B31" s="7">
        <f>117.6*1.166/0.51</f>
        <v>268.86588235294113</v>
      </c>
      <c r="C31" s="21" t="s">
        <v>41</v>
      </c>
      <c r="D31" s="13">
        <v>2009</v>
      </c>
      <c r="E31" s="4">
        <f t="shared" si="12"/>
        <v>1774241.8632427587</v>
      </c>
      <c r="F31" s="20">
        <f t="shared" si="13"/>
        <v>2040378.1427291723</v>
      </c>
      <c r="G31" s="20">
        <f t="shared" si="14"/>
        <v>2047202.1498954908</v>
      </c>
      <c r="H31" s="20">
        <f t="shared" si="15"/>
        <v>1910722.0065691245</v>
      </c>
      <c r="I31" s="20">
        <f t="shared" si="16"/>
        <v>2661362.7948641381</v>
      </c>
    </row>
    <row r="32" spans="1:12" ht="21.95" hidden="1" customHeight="1">
      <c r="A32" s="3" t="s">
        <v>15</v>
      </c>
      <c r="B32" s="7">
        <f>113.2*1.166/0.51</f>
        <v>258.80627450980393</v>
      </c>
      <c r="C32" s="21" t="s">
        <v>42</v>
      </c>
      <c r="D32" s="13">
        <v>2008</v>
      </c>
      <c r="E32" s="4">
        <f t="shared" si="12"/>
        <v>1707858.664277894</v>
      </c>
      <c r="F32" s="20">
        <f t="shared" si="13"/>
        <v>1964037.4639195779</v>
      </c>
      <c r="G32" s="20">
        <f t="shared" si="14"/>
        <v>1970606.1510898774</v>
      </c>
      <c r="H32" s="20">
        <f t="shared" si="15"/>
        <v>1839232.4076838854</v>
      </c>
      <c r="I32" s="20">
        <f t="shared" si="16"/>
        <v>2561787.9964168407</v>
      </c>
    </row>
    <row r="33" spans="1:9" ht="21.95" hidden="1" customHeight="1">
      <c r="A33" s="3" t="s">
        <v>15</v>
      </c>
      <c r="B33" s="7">
        <f>108.8*1.166/0.51</f>
        <v>248.74666666666664</v>
      </c>
      <c r="C33" s="21" t="s">
        <v>43</v>
      </c>
      <c r="D33" s="2">
        <v>2007</v>
      </c>
      <c r="E33" s="4">
        <f t="shared" si="12"/>
        <v>1641475.4653130285</v>
      </c>
      <c r="F33" s="20">
        <f t="shared" si="13"/>
        <v>1887696.7851099826</v>
      </c>
      <c r="G33" s="20">
        <f t="shared" si="14"/>
        <v>1894010.1522842636</v>
      </c>
      <c r="H33" s="20">
        <f t="shared" si="15"/>
        <v>1767742.8087986461</v>
      </c>
      <c r="I33" s="20">
        <f t="shared" si="16"/>
        <v>2462213.1979695428</v>
      </c>
    </row>
    <row r="34" spans="1:9" ht="21.95" hidden="1" customHeight="1">
      <c r="B34" s="7">
        <f>123.9/0.51</f>
        <v>242.94117647058823</v>
      </c>
      <c r="C34" s="21" t="s">
        <v>44</v>
      </c>
      <c r="D34" s="2">
        <v>2006</v>
      </c>
      <c r="E34" s="4">
        <f t="shared" si="12"/>
        <v>1603165.1239175873</v>
      </c>
      <c r="F34" s="20">
        <f t="shared" si="13"/>
        <v>1843639.8925052253</v>
      </c>
      <c r="G34" s="20">
        <f t="shared" si="14"/>
        <v>1849805.9122126007</v>
      </c>
      <c r="H34" s="20">
        <f t="shared" si="15"/>
        <v>1726485.5180650938</v>
      </c>
      <c r="I34" s="20">
        <f t="shared" si="16"/>
        <v>2404747.6858763811</v>
      </c>
    </row>
    <row r="35" spans="1:9" ht="21.95" hidden="1" customHeight="1">
      <c r="B35" s="7">
        <f>121.1/0.51</f>
        <v>237.45098039215685</v>
      </c>
      <c r="C35" s="21" t="s">
        <v>45</v>
      </c>
      <c r="D35" s="2">
        <v>2005</v>
      </c>
      <c r="E35" s="4">
        <f t="shared" si="12"/>
        <v>1566935.4036030655</v>
      </c>
      <c r="F35" s="20">
        <f t="shared" si="13"/>
        <v>1801975.7141435251</v>
      </c>
      <c r="G35" s="20">
        <f t="shared" si="14"/>
        <v>1808002.3887727677</v>
      </c>
      <c r="H35" s="20">
        <f t="shared" si="15"/>
        <v>1687468.8961879166</v>
      </c>
      <c r="I35" s="20">
        <f t="shared" si="16"/>
        <v>2350403.1054045982</v>
      </c>
    </row>
    <row r="36" spans="1:9" ht="21.95" hidden="1" customHeight="1">
      <c r="A36" s="16" t="s">
        <v>54</v>
      </c>
      <c r="B36" s="7">
        <f>121/0.51</f>
        <v>237.25490196078431</v>
      </c>
      <c r="C36" s="69" t="s">
        <v>46</v>
      </c>
      <c r="D36" s="2">
        <v>2003</v>
      </c>
      <c r="E36" s="4">
        <f t="shared" si="12"/>
        <v>1565641.485020404</v>
      </c>
      <c r="F36" s="20">
        <f t="shared" si="13"/>
        <v>1800487.7077734645</v>
      </c>
      <c r="G36" s="20">
        <f t="shared" si="14"/>
        <v>1806509.4057927739</v>
      </c>
      <c r="H36" s="20">
        <f t="shared" si="15"/>
        <v>1686075.4454065887</v>
      </c>
      <c r="I36" s="20">
        <f t="shared" si="16"/>
        <v>2348462.2275306061</v>
      </c>
    </row>
    <row r="37" spans="1:9">
      <c r="A37" s="17" t="s">
        <v>33</v>
      </c>
      <c r="B37" s="22">
        <v>197</v>
      </c>
      <c r="C37" s="44" t="s">
        <v>47</v>
      </c>
      <c r="D37" s="23">
        <v>1992</v>
      </c>
      <c r="E37" s="4">
        <v>1300000</v>
      </c>
      <c r="F37" s="20">
        <f t="shared" si="13"/>
        <v>1495000</v>
      </c>
      <c r="G37" s="20">
        <f t="shared" si="14"/>
        <v>1500000</v>
      </c>
      <c r="H37" s="20">
        <f t="shared" si="15"/>
        <v>1400000</v>
      </c>
      <c r="I37" s="20">
        <f t="shared" si="16"/>
        <v>1950000</v>
      </c>
    </row>
    <row r="38" spans="1:9" ht="18">
      <c r="A38" s="12"/>
    </row>
    <row r="39" spans="1:9">
      <c r="A39" s="66" t="s">
        <v>61</v>
      </c>
      <c r="B39" s="66"/>
      <c r="C39" s="66"/>
      <c r="D39" s="66"/>
      <c r="E39" s="66"/>
      <c r="F39" s="66"/>
      <c r="G39" s="66"/>
      <c r="H39" s="66"/>
      <c r="I39" s="67"/>
    </row>
  </sheetData>
  <mergeCells count="1">
    <mergeCell ref="F16:I16"/>
  </mergeCells>
  <pageMargins left="0.7" right="0.7" top="0.75" bottom="0.75" header="0.3" footer="0.3"/>
  <pageSetup paperSize="9" scale="76" orientation="landscape" horizontalDpi="1800" verticalDpi="18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J41"/>
  <sheetViews>
    <sheetView topLeftCell="A16" zoomScaleNormal="100" workbookViewId="0">
      <selection activeCell="A38" sqref="A38"/>
    </sheetView>
  </sheetViews>
  <sheetFormatPr defaultColWidth="9.77734375" defaultRowHeight="15"/>
  <cols>
    <col min="4" max="4" width="15.33203125" bestFit="1" customWidth="1"/>
    <col min="5" max="5" width="14" customWidth="1"/>
    <col min="6" max="6" width="14.77734375" customWidth="1"/>
    <col min="7" max="7" width="16.77734375" customWidth="1"/>
    <col min="8" max="8" width="18" customWidth="1"/>
  </cols>
  <sheetData>
    <row r="1" spans="1:10" ht="15.75" customHeight="1"/>
    <row r="2" spans="1:10" ht="18" customHeight="1">
      <c r="A2" t="s">
        <v>27</v>
      </c>
    </row>
    <row r="3" spans="1:10" ht="18" customHeight="1">
      <c r="J3" s="76" t="s">
        <v>62</v>
      </c>
    </row>
    <row r="4" spans="1:10">
      <c r="A4" t="s">
        <v>28</v>
      </c>
    </row>
    <row r="6" spans="1:10">
      <c r="A6" t="s">
        <v>31</v>
      </c>
    </row>
    <row r="7" spans="1:10">
      <c r="A7" t="s">
        <v>30</v>
      </c>
    </row>
    <row r="9" spans="1:10">
      <c r="A9" t="s">
        <v>29</v>
      </c>
    </row>
    <row r="10" spans="1:10">
      <c r="A10" t="s">
        <v>32</v>
      </c>
    </row>
    <row r="12" spans="1:10" ht="15.75">
      <c r="A12" t="s">
        <v>52</v>
      </c>
    </row>
    <row r="13" spans="1:10" ht="15.75">
      <c r="A13" t="s">
        <v>58</v>
      </c>
    </row>
    <row r="15" spans="1:10" ht="21.95" customHeight="1">
      <c r="A15" s="5" t="s">
        <v>1</v>
      </c>
      <c r="B15" s="6" t="s">
        <v>2</v>
      </c>
      <c r="C15" s="6" t="s">
        <v>3</v>
      </c>
      <c r="D15" s="8" t="s">
        <v>0</v>
      </c>
      <c r="E15" s="8" t="s">
        <v>17</v>
      </c>
      <c r="F15" s="8" t="s">
        <v>18</v>
      </c>
      <c r="G15" s="8" t="s">
        <v>19</v>
      </c>
      <c r="H15" s="8" t="s">
        <v>20</v>
      </c>
    </row>
    <row r="16" spans="1:10" ht="21.95" customHeight="1">
      <c r="A16" s="33"/>
      <c r="B16" s="34"/>
      <c r="C16" s="35" t="s">
        <v>25</v>
      </c>
      <c r="D16" s="36"/>
      <c r="E16" s="36" t="s">
        <v>16</v>
      </c>
      <c r="F16" s="36"/>
      <c r="G16" s="36"/>
      <c r="H16" s="36"/>
    </row>
    <row r="17" spans="1:10" ht="21.95" customHeight="1">
      <c r="A17" s="43"/>
      <c r="B17" s="44"/>
      <c r="C17" s="49" t="s">
        <v>26</v>
      </c>
      <c r="D17" s="50"/>
      <c r="E17" s="51" t="s">
        <v>21</v>
      </c>
      <c r="F17" s="51" t="s">
        <v>22</v>
      </c>
      <c r="G17" s="51" t="s">
        <v>23</v>
      </c>
      <c r="H17" s="51" t="s">
        <v>24</v>
      </c>
      <c r="I17" s="11"/>
      <c r="J17" s="76"/>
    </row>
    <row r="18" spans="1:10" ht="21.95" customHeight="1">
      <c r="A18" s="43" t="s">
        <v>56</v>
      </c>
      <c r="B18" s="83">
        <f>331.7*118/113.5</f>
        <v>344.85110132158587</v>
      </c>
      <c r="C18" s="84">
        <v>2024</v>
      </c>
      <c r="D18" s="50">
        <f>$D$39/$B$39*B18</f>
        <v>2275667.166081531</v>
      </c>
      <c r="E18" s="63">
        <f t="shared" ref="E18" si="0">D18*1.15</f>
        <v>2617017.2409937605</v>
      </c>
      <c r="F18" s="54">
        <f t="shared" ref="F18" si="1">D18*1.5/1.3</f>
        <v>2625769.8070171508</v>
      </c>
      <c r="G18" s="54">
        <f t="shared" ref="G18" si="2">D18*1.4/1.3</f>
        <v>2450718.4865493411</v>
      </c>
      <c r="H18" s="54">
        <f t="shared" ref="H18" si="3">D18*1.5</f>
        <v>3413500.7491222965</v>
      </c>
      <c r="I18" s="11"/>
      <c r="J18" s="76"/>
    </row>
    <row r="19" spans="1:10" ht="21.95" customHeight="1">
      <c r="A19" s="43" t="s">
        <v>4</v>
      </c>
      <c r="B19" s="83">
        <f>308*113.5/105.4</f>
        <v>331.66982922201134</v>
      </c>
      <c r="C19" s="84">
        <v>2023</v>
      </c>
      <c r="D19" s="50">
        <f t="shared" ref="D19:D38" si="4">$D$39/$B$39*B19</f>
        <v>2188684.1522264709</v>
      </c>
      <c r="E19" s="63">
        <f t="shared" ref="E19:E28" si="5">D19*1.15</f>
        <v>2516986.7750604413</v>
      </c>
      <c r="F19" s="54">
        <f t="shared" ref="F19:F28" si="6">D19*1.5/1.3</f>
        <v>2525404.7910305434</v>
      </c>
      <c r="G19" s="54">
        <f t="shared" ref="G19:G28" si="7">D19*1.4/1.3</f>
        <v>2357044.4716285067</v>
      </c>
      <c r="H19" s="54">
        <f t="shared" ref="H19:H28" si="8">D19*1.5</f>
        <v>3283026.2283397065</v>
      </c>
      <c r="I19" s="11"/>
      <c r="J19" s="76"/>
    </row>
    <row r="20" spans="1:10" ht="21.95" customHeight="1">
      <c r="A20" s="43" t="s">
        <v>5</v>
      </c>
      <c r="B20" s="83">
        <f>303.6*105.4/103.9</f>
        <v>307.9830606352262</v>
      </c>
      <c r="C20" s="84">
        <v>2022</v>
      </c>
      <c r="D20" s="50">
        <f t="shared" ref="D20" si="9">$D$39/$B$39*B20</f>
        <v>2032375.5270344876</v>
      </c>
      <c r="E20" s="63">
        <f t="shared" ref="E20" si="10">D20*1.15</f>
        <v>2337231.8560896604</v>
      </c>
      <c r="F20" s="54">
        <f t="shared" ref="F20" si="11">D20*1.5/1.3</f>
        <v>2345048.6850397931</v>
      </c>
      <c r="G20" s="54">
        <f t="shared" ref="G20" si="12">D20*1.4/1.3</f>
        <v>2188712.1060371404</v>
      </c>
      <c r="H20" s="54">
        <f t="shared" ref="H20" si="13">D20*1.5</f>
        <v>3048563.2905517314</v>
      </c>
      <c r="I20" s="11"/>
      <c r="J20" s="76"/>
    </row>
    <row r="21" spans="1:10" ht="21.95" customHeight="1">
      <c r="A21" s="26" t="s">
        <v>6</v>
      </c>
      <c r="B21" s="44">
        <f>302.4*103.9/103.5</f>
        <v>303.56869565217391</v>
      </c>
      <c r="C21" s="62">
        <v>2021</v>
      </c>
      <c r="D21" s="50">
        <f t="shared" ref="D21" si="14">$D$39/$B$39*B21</f>
        <v>2003245.1997351579</v>
      </c>
      <c r="E21" s="63">
        <f t="shared" ref="E21" si="15">D21*1.15</f>
        <v>2303731.9796954314</v>
      </c>
      <c r="F21" s="54">
        <f t="shared" ref="F21" si="16">D21*1.5/1.3</f>
        <v>2311436.7689251821</v>
      </c>
      <c r="G21" s="54">
        <f t="shared" ref="G21" si="17">D21*1.4/1.3</f>
        <v>2157340.9843301699</v>
      </c>
      <c r="H21" s="54">
        <f t="shared" ref="H21" si="18">D21*1.5</f>
        <v>3004867.7996027367</v>
      </c>
      <c r="I21" s="11"/>
      <c r="J21" s="76"/>
    </row>
    <row r="22" spans="1:10" ht="21.95" customHeight="1">
      <c r="A22" s="3" t="s">
        <v>7</v>
      </c>
      <c r="B22" s="44">
        <f>299.8*103.5/102.6</f>
        <v>302.42982456140356</v>
      </c>
      <c r="C22" s="62">
        <v>2020</v>
      </c>
      <c r="D22" s="50">
        <f t="shared" si="4"/>
        <v>1995729.8067503788</v>
      </c>
      <c r="E22" s="63">
        <f t="shared" si="5"/>
        <v>2295089.2777629355</v>
      </c>
      <c r="F22" s="54">
        <f t="shared" si="6"/>
        <v>2302765.1616350524</v>
      </c>
      <c r="G22" s="54">
        <f t="shared" si="7"/>
        <v>2149247.4841927155</v>
      </c>
      <c r="H22" s="54">
        <f t="shared" si="8"/>
        <v>2993594.7101255683</v>
      </c>
      <c r="I22" s="11"/>
      <c r="J22" s="76"/>
    </row>
    <row r="23" spans="1:10" ht="21.95" customHeight="1">
      <c r="A23" s="3" t="s">
        <v>8</v>
      </c>
      <c r="B23" s="44">
        <f>297.2*102.6/101.7</f>
        <v>299.83008849557518</v>
      </c>
      <c r="C23" s="62">
        <v>2019</v>
      </c>
      <c r="D23" s="50">
        <f t="shared" si="4"/>
        <v>1978574.1880418668</v>
      </c>
      <c r="E23" s="27">
        <f t="shared" si="5"/>
        <v>2275360.3162481468</v>
      </c>
      <c r="F23" s="54">
        <f t="shared" si="6"/>
        <v>2282970.2169713848</v>
      </c>
      <c r="G23" s="54">
        <f t="shared" si="7"/>
        <v>2130772.2025066256</v>
      </c>
      <c r="H23" s="54">
        <f t="shared" si="8"/>
        <v>2967861.2820628001</v>
      </c>
      <c r="I23" s="11"/>
      <c r="J23" s="76"/>
    </row>
    <row r="24" spans="1:10" ht="21.95" customHeight="1">
      <c r="A24" s="3" t="s">
        <v>9</v>
      </c>
      <c r="B24" s="44">
        <f>293.7*101.7/100.5</f>
        <v>297.20686567164182</v>
      </c>
      <c r="C24" s="62" t="s">
        <v>60</v>
      </c>
      <c r="D24" s="68">
        <f t="shared" si="4"/>
        <v>1961263.5805742862</v>
      </c>
      <c r="E24" s="27">
        <f t="shared" si="5"/>
        <v>2255453.1176604289</v>
      </c>
      <c r="F24" s="54">
        <f t="shared" si="6"/>
        <v>2262996.4391241763</v>
      </c>
      <c r="G24" s="54">
        <f t="shared" si="7"/>
        <v>2112130.0098492312</v>
      </c>
      <c r="H24" s="54">
        <f t="shared" si="8"/>
        <v>2941895.3708614293</v>
      </c>
      <c r="I24" s="11"/>
      <c r="J24" s="76"/>
    </row>
    <row r="25" spans="1:10" ht="21.95" customHeight="1">
      <c r="A25" s="3" t="s">
        <v>10</v>
      </c>
      <c r="B25" s="44">
        <f>292.2*100.5/100</f>
        <v>293.661</v>
      </c>
      <c r="C25" s="55">
        <v>2017</v>
      </c>
      <c r="D25" s="53">
        <f t="shared" si="4"/>
        <v>1937864.4670050761</v>
      </c>
      <c r="E25" s="27">
        <f t="shared" si="5"/>
        <v>2228544.1370558375</v>
      </c>
      <c r="F25" s="54">
        <f t="shared" si="6"/>
        <v>2235997.4619289339</v>
      </c>
      <c r="G25" s="54">
        <f t="shared" si="7"/>
        <v>2086930.9644670049</v>
      </c>
      <c r="H25" s="54">
        <f t="shared" si="8"/>
        <v>2906796.7005076143</v>
      </c>
      <c r="I25" s="11"/>
    </row>
    <row r="26" spans="1:10" ht="21.95" customHeight="1">
      <c r="A26" s="3" t="s">
        <v>11</v>
      </c>
      <c r="B26" s="7">
        <f>288*133.2/131.3</f>
        <v>292.16755521706011</v>
      </c>
      <c r="C26" s="52">
        <v>2016</v>
      </c>
      <c r="D26" s="53">
        <f t="shared" si="4"/>
        <v>1928009.2476252697</v>
      </c>
      <c r="E26" s="27">
        <f t="shared" si="5"/>
        <v>2217210.6347690602</v>
      </c>
      <c r="F26" s="54">
        <f t="shared" si="6"/>
        <v>2224626.054952234</v>
      </c>
      <c r="G26" s="54">
        <f t="shared" si="7"/>
        <v>2076317.6512887517</v>
      </c>
      <c r="H26" s="54">
        <f t="shared" si="8"/>
        <v>2892013.8714379044</v>
      </c>
      <c r="I26" s="11"/>
    </row>
    <row r="27" spans="1:10" ht="21.95" customHeight="1">
      <c r="A27" s="3" t="s">
        <v>12</v>
      </c>
      <c r="B27" s="7">
        <f>288*132.3/131.3</f>
        <v>290.19345011424218</v>
      </c>
      <c r="C27" s="31">
        <v>2015</v>
      </c>
      <c r="D27" s="27">
        <f t="shared" si="4"/>
        <v>1914982.1581142885</v>
      </c>
      <c r="E27" s="27">
        <f t="shared" si="5"/>
        <v>2202229.4818314314</v>
      </c>
      <c r="F27" s="27">
        <f t="shared" si="6"/>
        <v>2209594.7978241793</v>
      </c>
      <c r="G27" s="27">
        <f t="shared" si="7"/>
        <v>2062288.4779692336</v>
      </c>
      <c r="H27" s="27">
        <f t="shared" si="8"/>
        <v>2872473.2371714329</v>
      </c>
      <c r="I27" s="11"/>
    </row>
    <row r="28" spans="1:10" ht="21.95" customHeight="1">
      <c r="A28" s="3" t="s">
        <v>13</v>
      </c>
      <c r="B28" s="7">
        <f>118.5*1.063*1.166/0.51</f>
        <v>287.99171176470583</v>
      </c>
      <c r="C28" s="2">
        <v>2014</v>
      </c>
      <c r="D28" s="27">
        <f t="shared" si="4"/>
        <v>1900452.9202747084</v>
      </c>
      <c r="E28" s="27">
        <f t="shared" si="5"/>
        <v>2185520.8583159144</v>
      </c>
      <c r="F28" s="27">
        <f t="shared" si="6"/>
        <v>2192830.2926246636</v>
      </c>
      <c r="G28" s="27">
        <f t="shared" si="7"/>
        <v>2046641.6064496858</v>
      </c>
      <c r="H28" s="27">
        <f t="shared" si="8"/>
        <v>2850679.3804120626</v>
      </c>
      <c r="I28" s="11"/>
    </row>
    <row r="29" spans="1:10" ht="21.95" customHeight="1">
      <c r="A29" s="3" t="s">
        <v>14</v>
      </c>
      <c r="B29" s="7">
        <f>117.1*1.063*1.166/0.51</f>
        <v>284.58927803921563</v>
      </c>
      <c r="C29" s="2">
        <v>2013</v>
      </c>
      <c r="D29" s="4">
        <f t="shared" si="4"/>
        <v>1878000.3119339102</v>
      </c>
      <c r="E29" s="4">
        <f t="shared" ref="E29:E34" si="19">D29*1.15</f>
        <v>2159700.3587239967</v>
      </c>
      <c r="F29" s="4">
        <f t="shared" ref="F29:F34" si="20">D29*1.5/1.3</f>
        <v>2166923.4368468192</v>
      </c>
      <c r="G29" s="4">
        <f t="shared" ref="G29:G34" si="21">D29*1.4/1.3</f>
        <v>2022461.8743903649</v>
      </c>
      <c r="H29" s="4">
        <f t="shared" ref="H29:H34" si="22">D29*1.5</f>
        <v>2817000.4679008652</v>
      </c>
      <c r="I29" s="11"/>
    </row>
    <row r="30" spans="1:10" ht="21.95" customHeight="1">
      <c r="A30" s="3" t="s">
        <v>15</v>
      </c>
      <c r="B30" s="7">
        <f>115.4*1.063*1.166/0.51</f>
        <v>280.45775137254901</v>
      </c>
      <c r="C30" s="2">
        <v>2012</v>
      </c>
      <c r="D30" s="4">
        <f t="shared" si="4"/>
        <v>1850736.430377227</v>
      </c>
      <c r="E30" s="4">
        <f t="shared" si="19"/>
        <v>2128346.8949338109</v>
      </c>
      <c r="F30" s="4">
        <f t="shared" si="20"/>
        <v>2135465.1119737234</v>
      </c>
      <c r="G30" s="4">
        <f t="shared" si="21"/>
        <v>1993100.7711754749</v>
      </c>
      <c r="H30" s="4">
        <f>D30*1.5</f>
        <v>2776104.6455658404</v>
      </c>
      <c r="I30" s="11"/>
    </row>
    <row r="31" spans="1:10" ht="21.95" customHeight="1">
      <c r="A31" s="3" t="s">
        <v>15</v>
      </c>
      <c r="B31" s="7">
        <f>114.8*1.063*1.166/0.51</f>
        <v>278.99956549019606</v>
      </c>
      <c r="C31" s="13">
        <v>2011</v>
      </c>
      <c r="D31" s="4">
        <f t="shared" si="4"/>
        <v>1841113.8839454562</v>
      </c>
      <c r="E31" s="4">
        <f t="shared" si="19"/>
        <v>2117280.9665372744</v>
      </c>
      <c r="F31" s="4">
        <f t="shared" si="20"/>
        <v>2124362.173783219</v>
      </c>
      <c r="G31" s="4">
        <f t="shared" si="21"/>
        <v>1982738.0288643371</v>
      </c>
      <c r="H31" s="4">
        <f t="shared" si="22"/>
        <v>2761670.8259181846</v>
      </c>
      <c r="I31" s="11"/>
    </row>
    <row r="32" spans="1:10" ht="21.95" customHeight="1">
      <c r="A32" s="3" t="s">
        <v>15</v>
      </c>
      <c r="B32" s="7">
        <f>113.9*1.063*1.166/0.51</f>
        <v>276.81228666666664</v>
      </c>
      <c r="C32" s="13">
        <v>2010</v>
      </c>
      <c r="D32" s="4">
        <f t="shared" si="4"/>
        <v>1826680.0642978002</v>
      </c>
      <c r="E32" s="4">
        <f t="shared" si="19"/>
        <v>2100682.0739424699</v>
      </c>
      <c r="F32" s="4">
        <f t="shared" si="20"/>
        <v>2107707.7664974616</v>
      </c>
      <c r="G32" s="4">
        <f t="shared" si="21"/>
        <v>1967193.9153976308</v>
      </c>
      <c r="H32" s="4">
        <f t="shared" si="22"/>
        <v>2740020.0964467004</v>
      </c>
    </row>
    <row r="33" spans="1:8" ht="21.95" customHeight="1">
      <c r="A33" s="3" t="s">
        <v>15</v>
      </c>
      <c r="B33" s="7">
        <f>117.6*1.166/0.51</f>
        <v>268.86588235294113</v>
      </c>
      <c r="C33" s="13">
        <v>2009</v>
      </c>
      <c r="D33" s="4">
        <f t="shared" si="4"/>
        <v>1774241.8632427587</v>
      </c>
      <c r="E33" s="4">
        <f t="shared" si="19"/>
        <v>2040378.1427291723</v>
      </c>
      <c r="F33" s="4">
        <f t="shared" si="20"/>
        <v>2047202.1498954908</v>
      </c>
      <c r="G33" s="4">
        <f t="shared" si="21"/>
        <v>1910722.0065691245</v>
      </c>
      <c r="H33" s="4">
        <f t="shared" si="22"/>
        <v>2661362.7948641381</v>
      </c>
    </row>
    <row r="34" spans="1:8" ht="21.95" customHeight="1">
      <c r="A34" s="3" t="s">
        <v>15</v>
      </c>
      <c r="B34" s="7">
        <f>113.2*1.166/0.51</f>
        <v>258.80627450980393</v>
      </c>
      <c r="C34" s="13">
        <v>2008</v>
      </c>
      <c r="D34" s="4">
        <f t="shared" si="4"/>
        <v>1707858.664277894</v>
      </c>
      <c r="E34" s="4">
        <f t="shared" si="19"/>
        <v>1964037.4639195779</v>
      </c>
      <c r="F34" s="4">
        <f t="shared" si="20"/>
        <v>1970606.1510898774</v>
      </c>
      <c r="G34" s="4">
        <f t="shared" si="21"/>
        <v>1839232.4076838854</v>
      </c>
      <c r="H34" s="4">
        <f t="shared" si="22"/>
        <v>2561787.9964168407</v>
      </c>
    </row>
    <row r="35" spans="1:8" ht="21.95" customHeight="1">
      <c r="A35" s="3" t="s">
        <v>15</v>
      </c>
      <c r="B35" s="7">
        <f>108.8*1.166/0.51</f>
        <v>248.74666666666664</v>
      </c>
      <c r="C35" s="2">
        <v>2007</v>
      </c>
      <c r="D35" s="4">
        <f t="shared" si="4"/>
        <v>1641475.4653130285</v>
      </c>
      <c r="E35" s="4">
        <f>D35*1.15</f>
        <v>1887696.7851099826</v>
      </c>
      <c r="F35" s="4">
        <f>D35*1.5/1.3</f>
        <v>1894010.1522842636</v>
      </c>
      <c r="G35" s="4">
        <f>D35*1.4/1.3</f>
        <v>1767742.8087986461</v>
      </c>
      <c r="H35" s="4">
        <f>D35*1.5</f>
        <v>2462213.1979695428</v>
      </c>
    </row>
    <row r="36" spans="1:8" ht="21.95" customHeight="1">
      <c r="A36" s="3" t="s">
        <v>15</v>
      </c>
      <c r="B36" s="7">
        <f>123.9/0.51</f>
        <v>242.94117647058823</v>
      </c>
      <c r="C36" s="2">
        <v>2006</v>
      </c>
      <c r="D36" s="4">
        <f t="shared" si="4"/>
        <v>1603165.1239175873</v>
      </c>
      <c r="E36" s="4">
        <f>D36*1.15</f>
        <v>1843639.8925052253</v>
      </c>
      <c r="F36" s="4">
        <f>D36*1.5/1.3</f>
        <v>1849805.9122126007</v>
      </c>
      <c r="G36" s="4">
        <f>D36*1.4/1.3</f>
        <v>1726485.5180650938</v>
      </c>
      <c r="H36" s="4">
        <f>D36*1.5</f>
        <v>2404747.6858763811</v>
      </c>
    </row>
    <row r="37" spans="1:8" ht="21.95" customHeight="1">
      <c r="A37" s="3" t="s">
        <v>15</v>
      </c>
      <c r="B37" s="7">
        <f>121.1/0.51</f>
        <v>237.45098039215685</v>
      </c>
      <c r="C37" s="2">
        <v>2005</v>
      </c>
      <c r="D37" s="4">
        <f t="shared" si="4"/>
        <v>1566935.4036030655</v>
      </c>
      <c r="E37" s="4">
        <f>D37*1.15</f>
        <v>1801975.7141435251</v>
      </c>
      <c r="F37" s="4">
        <f>D37*1.5/1.3</f>
        <v>1808002.3887727677</v>
      </c>
      <c r="G37" s="4">
        <f>D37*1.4/1.3</f>
        <v>1687468.8961879166</v>
      </c>
      <c r="H37" s="4">
        <f>D37*1.5</f>
        <v>2350403.1054045982</v>
      </c>
    </row>
    <row r="38" spans="1:8" ht="21.95" customHeight="1">
      <c r="A38" s="3" t="s">
        <v>15</v>
      </c>
      <c r="B38" s="7">
        <f>121/0.51</f>
        <v>237.25490196078431</v>
      </c>
      <c r="C38" s="2">
        <v>2003</v>
      </c>
      <c r="D38" s="4">
        <f t="shared" si="4"/>
        <v>1565641.485020404</v>
      </c>
      <c r="E38" s="4">
        <f>D38*1.15</f>
        <v>1800487.7077734645</v>
      </c>
      <c r="F38" s="4">
        <f>D38*1.5/1.3</f>
        <v>1806509.4057927739</v>
      </c>
      <c r="G38" s="4">
        <f>D38*1.4/1.3</f>
        <v>1686075.4454065887</v>
      </c>
      <c r="H38" s="4">
        <f>D38*1.5</f>
        <v>2348462.2275306061</v>
      </c>
    </row>
    <row r="39" spans="1:8">
      <c r="A39" s="17" t="s">
        <v>33</v>
      </c>
      <c r="B39" s="15">
        <v>197</v>
      </c>
      <c r="C39" s="14">
        <v>1992</v>
      </c>
      <c r="D39" s="4">
        <v>1300000</v>
      </c>
      <c r="E39" s="4">
        <f>D39*1.15</f>
        <v>1495000</v>
      </c>
      <c r="F39" s="4">
        <f>D39*1.5/1.3</f>
        <v>1500000</v>
      </c>
      <c r="G39" s="4">
        <f>D39*1.4/1.3</f>
        <v>1400000</v>
      </c>
      <c r="H39" s="4">
        <f>D39*1.5</f>
        <v>1950000</v>
      </c>
    </row>
    <row r="40" spans="1:8" ht="18">
      <c r="A40" s="12"/>
    </row>
    <row r="41" spans="1:8">
      <c r="A41" s="66" t="s">
        <v>61</v>
      </c>
      <c r="B41" s="66"/>
      <c r="C41" s="66"/>
      <c r="D41" s="66"/>
      <c r="E41" s="66"/>
      <c r="F41" s="66"/>
      <c r="G41" s="66"/>
      <c r="H41" s="67"/>
    </row>
  </sheetData>
  <phoneticPr fontId="0" type="noConversion"/>
  <pageMargins left="1.1811023622047245" right="0.19685039370078741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2CF69-F15C-486B-AAC6-9797B8CA7C19}">
  <sheetPr transitionEvaluation="1">
    <pageSetUpPr fitToPage="1"/>
  </sheetPr>
  <dimension ref="A1:J40"/>
  <sheetViews>
    <sheetView tabSelected="1" zoomScaleNormal="100" workbookViewId="0">
      <selection activeCell="B23" sqref="B23"/>
    </sheetView>
  </sheetViews>
  <sheetFormatPr defaultColWidth="9.77734375" defaultRowHeight="15"/>
  <cols>
    <col min="4" max="4" width="15.33203125" bestFit="1" customWidth="1"/>
    <col min="5" max="5" width="14" customWidth="1"/>
    <col min="6" max="6" width="14.77734375" customWidth="1"/>
    <col min="7" max="7" width="16.77734375" customWidth="1"/>
    <col min="8" max="8" width="18" customWidth="1"/>
  </cols>
  <sheetData>
    <row r="1" spans="1:10" ht="15.75" customHeight="1"/>
    <row r="2" spans="1:10" ht="18" customHeight="1">
      <c r="A2" t="s">
        <v>27</v>
      </c>
    </row>
    <row r="3" spans="1:10" ht="18" customHeight="1">
      <c r="J3" s="76" t="s">
        <v>62</v>
      </c>
    </row>
    <row r="4" spans="1:10">
      <c r="A4" t="s">
        <v>28</v>
      </c>
    </row>
    <row r="6" spans="1:10">
      <c r="A6" t="s">
        <v>31</v>
      </c>
    </row>
    <row r="7" spans="1:10">
      <c r="A7" t="s">
        <v>30</v>
      </c>
    </row>
    <row r="9" spans="1:10">
      <c r="A9" t="s">
        <v>29</v>
      </c>
    </row>
    <row r="10" spans="1:10">
      <c r="A10" t="s">
        <v>32</v>
      </c>
    </row>
    <row r="12" spans="1:10" ht="15.75">
      <c r="A12" t="s">
        <v>52</v>
      </c>
    </row>
    <row r="13" spans="1:10" ht="15.75">
      <c r="A13" t="s">
        <v>58</v>
      </c>
    </row>
    <row r="15" spans="1:10" ht="21.95" customHeight="1">
      <c r="A15" s="5" t="s">
        <v>1</v>
      </c>
      <c r="B15" s="6" t="s">
        <v>2</v>
      </c>
      <c r="C15" s="6" t="s">
        <v>3</v>
      </c>
      <c r="D15" s="8" t="s">
        <v>0</v>
      </c>
      <c r="E15" s="8" t="s">
        <v>17</v>
      </c>
      <c r="F15" s="8" t="s">
        <v>18</v>
      </c>
      <c r="G15" s="8" t="s">
        <v>19</v>
      </c>
      <c r="H15" s="8" t="s">
        <v>20</v>
      </c>
    </row>
    <row r="16" spans="1:10" ht="21.95" customHeight="1">
      <c r="A16" s="33"/>
      <c r="B16" s="34"/>
      <c r="C16" s="35" t="s">
        <v>25</v>
      </c>
      <c r="D16" s="36"/>
      <c r="E16" s="36" t="s">
        <v>16</v>
      </c>
      <c r="F16" s="36"/>
      <c r="G16" s="36"/>
      <c r="H16" s="36"/>
    </row>
    <row r="17" spans="1:10" ht="21.95" customHeight="1">
      <c r="A17" s="43"/>
      <c r="B17" s="44"/>
      <c r="C17" s="49" t="s">
        <v>26</v>
      </c>
      <c r="D17" s="50"/>
      <c r="E17" s="51" t="s">
        <v>21</v>
      </c>
      <c r="F17" s="51" t="s">
        <v>22</v>
      </c>
      <c r="G17" s="51" t="s">
        <v>23</v>
      </c>
      <c r="H17" s="51" t="s">
        <v>24</v>
      </c>
      <c r="I17" s="11"/>
      <c r="J17" s="76"/>
    </row>
    <row r="18" spans="1:10" ht="21.95" customHeight="1">
      <c r="A18" s="43" t="s">
        <v>56</v>
      </c>
      <c r="B18" s="83">
        <f>331.7*118/113.5</f>
        <v>344.85110132158587</v>
      </c>
      <c r="C18" s="84">
        <v>2024</v>
      </c>
      <c r="D18" s="50">
        <f>$D$39/$B$39*B18</f>
        <v>2275667.166081531</v>
      </c>
      <c r="E18" s="63">
        <f t="shared" ref="E18:E34" si="0">D18*1.15</f>
        <v>2617017.2409937605</v>
      </c>
      <c r="F18" s="54">
        <f t="shared" ref="F18:F34" si="1">D18*1.5/1.3</f>
        <v>2625769.8070171508</v>
      </c>
      <c r="G18" s="54">
        <f t="shared" ref="G18:G34" si="2">D18*1.4/1.3</f>
        <v>2450718.4865493411</v>
      </c>
      <c r="H18" s="54">
        <f t="shared" ref="H18:H34" si="3">D18*1.5</f>
        <v>3413500.7491222965</v>
      </c>
      <c r="I18" s="11"/>
      <c r="J18" s="76"/>
    </row>
    <row r="19" spans="1:10" ht="21.95" customHeight="1">
      <c r="A19" s="43" t="s">
        <v>4</v>
      </c>
      <c r="B19" s="83">
        <f>308*113.5/105.4</f>
        <v>331.66982922201134</v>
      </c>
      <c r="C19" s="84">
        <v>2023</v>
      </c>
      <c r="D19" s="50">
        <f t="shared" ref="D19:D38" si="4">$D$39/$B$39*B19</f>
        <v>2188684.1522264709</v>
      </c>
      <c r="E19" s="63">
        <f t="shared" si="0"/>
        <v>2516986.7750604413</v>
      </c>
      <c r="F19" s="54">
        <f t="shared" si="1"/>
        <v>2525404.7910305434</v>
      </c>
      <c r="G19" s="54">
        <f t="shared" si="2"/>
        <v>2357044.4716285067</v>
      </c>
      <c r="H19" s="54">
        <f t="shared" si="3"/>
        <v>3283026.2283397065</v>
      </c>
      <c r="I19" s="11"/>
      <c r="J19" s="76"/>
    </row>
    <row r="20" spans="1:10" ht="21.95" customHeight="1">
      <c r="A20" s="43" t="s">
        <v>5</v>
      </c>
      <c r="B20" s="83">
        <f>303.6*105.4/103.9</f>
        <v>307.9830606352262</v>
      </c>
      <c r="C20" s="84">
        <v>2022</v>
      </c>
      <c r="D20" s="50">
        <f t="shared" si="4"/>
        <v>2032375.5270344876</v>
      </c>
      <c r="E20" s="63">
        <f t="shared" si="0"/>
        <v>2337231.8560896604</v>
      </c>
      <c r="F20" s="54">
        <f t="shared" si="1"/>
        <v>2345048.6850397931</v>
      </c>
      <c r="G20" s="54">
        <f t="shared" si="2"/>
        <v>2188712.1060371404</v>
      </c>
      <c r="H20" s="54">
        <f t="shared" si="3"/>
        <v>3048563.2905517314</v>
      </c>
      <c r="I20" s="11"/>
      <c r="J20" s="76"/>
    </row>
    <row r="21" spans="1:10" ht="21.95" customHeight="1">
      <c r="A21" s="26" t="s">
        <v>6</v>
      </c>
      <c r="B21" s="44">
        <f>302.4*103.9/103.5</f>
        <v>303.56869565217391</v>
      </c>
      <c r="C21" s="62">
        <v>2021</v>
      </c>
      <c r="D21" s="50">
        <f t="shared" si="4"/>
        <v>2003245.1997351579</v>
      </c>
      <c r="E21" s="63">
        <f t="shared" si="0"/>
        <v>2303731.9796954314</v>
      </c>
      <c r="F21" s="54">
        <f t="shared" si="1"/>
        <v>2311436.7689251821</v>
      </c>
      <c r="G21" s="54">
        <f t="shared" si="2"/>
        <v>2157340.9843301699</v>
      </c>
      <c r="H21" s="54">
        <f t="shared" si="3"/>
        <v>3004867.7996027367</v>
      </c>
      <c r="I21" s="11"/>
      <c r="J21" s="76"/>
    </row>
    <row r="22" spans="1:10" ht="21.95" customHeight="1">
      <c r="A22" s="3" t="s">
        <v>7</v>
      </c>
      <c r="B22" s="44">
        <f>299.8*103.5/102.6</f>
        <v>302.42982456140356</v>
      </c>
      <c r="C22" s="62">
        <v>2020</v>
      </c>
      <c r="D22" s="50">
        <f t="shared" si="4"/>
        <v>1995729.8067503788</v>
      </c>
      <c r="E22" s="63">
        <f t="shared" si="0"/>
        <v>2295089.2777629355</v>
      </c>
      <c r="F22" s="54">
        <f t="shared" si="1"/>
        <v>2302765.1616350524</v>
      </c>
      <c r="G22" s="54">
        <f t="shared" si="2"/>
        <v>2149247.4841927155</v>
      </c>
      <c r="H22" s="54">
        <f t="shared" si="3"/>
        <v>2993594.7101255683</v>
      </c>
      <c r="I22" s="11"/>
      <c r="J22" s="76"/>
    </row>
    <row r="23" spans="1:10" ht="21.95" customHeight="1">
      <c r="A23" s="3" t="s">
        <v>8</v>
      </c>
      <c r="B23" s="44">
        <f>297.2*102.6/101.7</f>
        <v>299.83008849557518</v>
      </c>
      <c r="C23" s="62">
        <v>2019</v>
      </c>
      <c r="D23" s="50">
        <f t="shared" si="4"/>
        <v>1978574.1880418668</v>
      </c>
      <c r="E23" s="27">
        <f t="shared" si="0"/>
        <v>2275360.3162481468</v>
      </c>
      <c r="F23" s="54">
        <f t="shared" si="1"/>
        <v>2282970.2169713848</v>
      </c>
      <c r="G23" s="54">
        <f t="shared" si="2"/>
        <v>2130772.2025066256</v>
      </c>
      <c r="H23" s="54">
        <f t="shared" si="3"/>
        <v>2967861.2820628001</v>
      </c>
      <c r="I23" s="11"/>
      <c r="J23" s="76"/>
    </row>
    <row r="24" spans="1:10" ht="21.95" customHeight="1">
      <c r="A24" s="3" t="s">
        <v>9</v>
      </c>
      <c r="B24" s="44">
        <f>293.7*101.7/100.5</f>
        <v>297.20686567164182</v>
      </c>
      <c r="C24" s="62" t="s">
        <v>60</v>
      </c>
      <c r="D24" s="68">
        <f t="shared" si="4"/>
        <v>1961263.5805742862</v>
      </c>
      <c r="E24" s="27">
        <f t="shared" si="0"/>
        <v>2255453.1176604289</v>
      </c>
      <c r="F24" s="54">
        <f t="shared" si="1"/>
        <v>2262996.4391241763</v>
      </c>
      <c r="G24" s="54">
        <f t="shared" si="2"/>
        <v>2112130.0098492312</v>
      </c>
      <c r="H24" s="54">
        <f t="shared" si="3"/>
        <v>2941895.3708614293</v>
      </c>
      <c r="I24" s="11"/>
    </row>
    <row r="25" spans="1:10" ht="21.95" customHeight="1">
      <c r="A25" s="3" t="s">
        <v>10</v>
      </c>
      <c r="B25" s="44">
        <f>292.2*100.5/100</f>
        <v>293.661</v>
      </c>
      <c r="C25" s="55">
        <v>2017</v>
      </c>
      <c r="D25" s="53">
        <f t="shared" si="4"/>
        <v>1937864.4670050761</v>
      </c>
      <c r="E25" s="27">
        <f t="shared" si="0"/>
        <v>2228544.1370558375</v>
      </c>
      <c r="F25" s="54">
        <f t="shared" si="1"/>
        <v>2235997.4619289339</v>
      </c>
      <c r="G25" s="54">
        <f t="shared" si="2"/>
        <v>2086930.9644670049</v>
      </c>
      <c r="H25" s="54">
        <f t="shared" si="3"/>
        <v>2906796.7005076143</v>
      </c>
      <c r="I25" s="11"/>
    </row>
    <row r="26" spans="1:10" ht="21.95" customHeight="1">
      <c r="A26" s="3" t="s">
        <v>11</v>
      </c>
      <c r="B26" s="7">
        <f>288*133.2/131.3</f>
        <v>292.16755521706011</v>
      </c>
      <c r="C26" s="52">
        <v>2016</v>
      </c>
      <c r="D26" s="53">
        <f t="shared" si="4"/>
        <v>1928009.2476252697</v>
      </c>
      <c r="E26" s="27">
        <f t="shared" si="0"/>
        <v>2217210.6347690602</v>
      </c>
      <c r="F26" s="54">
        <f t="shared" si="1"/>
        <v>2224626.054952234</v>
      </c>
      <c r="G26" s="54">
        <f t="shared" si="2"/>
        <v>2076317.6512887517</v>
      </c>
      <c r="H26" s="54">
        <f t="shared" si="3"/>
        <v>2892013.8714379044</v>
      </c>
      <c r="I26" s="11"/>
    </row>
    <row r="27" spans="1:10" ht="21.95" customHeight="1">
      <c r="A27" s="3" t="s">
        <v>12</v>
      </c>
      <c r="B27" s="7">
        <f>288*132.3/131.3</f>
        <v>290.19345011424218</v>
      </c>
      <c r="C27" s="31">
        <v>2015</v>
      </c>
      <c r="D27" s="27">
        <f t="shared" si="4"/>
        <v>1914982.1581142885</v>
      </c>
      <c r="E27" s="27">
        <f t="shared" si="0"/>
        <v>2202229.4818314314</v>
      </c>
      <c r="F27" s="27">
        <f t="shared" si="1"/>
        <v>2209594.7978241793</v>
      </c>
      <c r="G27" s="27">
        <f t="shared" si="2"/>
        <v>2062288.4779692336</v>
      </c>
      <c r="H27" s="27">
        <f t="shared" si="3"/>
        <v>2872473.2371714329</v>
      </c>
      <c r="I27" s="11"/>
    </row>
    <row r="28" spans="1:10" ht="21.95" customHeight="1">
      <c r="A28" s="3" t="s">
        <v>13</v>
      </c>
      <c r="B28" s="7">
        <f>118.5*1.063*1.166/0.51</f>
        <v>287.99171176470583</v>
      </c>
      <c r="C28" s="2">
        <v>2014</v>
      </c>
      <c r="D28" s="27">
        <f t="shared" si="4"/>
        <v>1900452.9202747084</v>
      </c>
      <c r="E28" s="27">
        <f t="shared" si="0"/>
        <v>2185520.8583159144</v>
      </c>
      <c r="F28" s="27">
        <f t="shared" si="1"/>
        <v>2192830.2926246636</v>
      </c>
      <c r="G28" s="27">
        <f t="shared" si="2"/>
        <v>2046641.6064496858</v>
      </c>
      <c r="H28" s="27">
        <f t="shared" si="3"/>
        <v>2850679.3804120626</v>
      </c>
      <c r="I28" s="11"/>
    </row>
    <row r="29" spans="1:10" ht="21.95" customHeight="1">
      <c r="A29" s="3" t="s">
        <v>14</v>
      </c>
      <c r="B29" s="7">
        <f>117.1*1.063*1.166/0.51</f>
        <v>284.58927803921563</v>
      </c>
      <c r="C29" s="2">
        <v>2013</v>
      </c>
      <c r="D29" s="4">
        <f t="shared" si="4"/>
        <v>1878000.3119339102</v>
      </c>
      <c r="E29" s="4">
        <f t="shared" si="0"/>
        <v>2159700.3587239967</v>
      </c>
      <c r="F29" s="4">
        <f t="shared" si="1"/>
        <v>2166923.4368468192</v>
      </c>
      <c r="G29" s="4">
        <f t="shared" si="2"/>
        <v>2022461.8743903649</v>
      </c>
      <c r="H29" s="4">
        <f t="shared" si="3"/>
        <v>2817000.4679008652</v>
      </c>
      <c r="I29" s="11"/>
    </row>
    <row r="30" spans="1:10" ht="21.95" customHeight="1">
      <c r="A30" s="3" t="s">
        <v>15</v>
      </c>
      <c r="B30" s="7">
        <f>115.4*1.063*1.166/0.51</f>
        <v>280.45775137254901</v>
      </c>
      <c r="C30" s="2">
        <v>2012</v>
      </c>
      <c r="D30" s="4">
        <f t="shared" si="4"/>
        <v>1850736.430377227</v>
      </c>
      <c r="E30" s="4">
        <f t="shared" si="0"/>
        <v>2128346.8949338109</v>
      </c>
      <c r="F30" s="4">
        <f t="shared" si="1"/>
        <v>2135465.1119737234</v>
      </c>
      <c r="G30" s="4">
        <f t="shared" si="2"/>
        <v>1993100.7711754749</v>
      </c>
      <c r="H30" s="4">
        <f>D30*1.5</f>
        <v>2776104.6455658404</v>
      </c>
      <c r="I30" s="11"/>
    </row>
    <row r="31" spans="1:10" ht="21.95" hidden="1" customHeight="1">
      <c r="A31" s="3" t="s">
        <v>15</v>
      </c>
      <c r="B31" s="7">
        <f>114.8*1.063*1.166/0.51</f>
        <v>278.99956549019606</v>
      </c>
      <c r="C31" s="13">
        <v>2011</v>
      </c>
      <c r="D31" s="4">
        <f t="shared" si="4"/>
        <v>1841113.8839454562</v>
      </c>
      <c r="E31" s="4">
        <f t="shared" si="0"/>
        <v>2117280.9665372744</v>
      </c>
      <c r="F31" s="4">
        <f t="shared" si="1"/>
        <v>2124362.173783219</v>
      </c>
      <c r="G31" s="4">
        <f t="shared" si="2"/>
        <v>1982738.0288643371</v>
      </c>
      <c r="H31" s="4">
        <f t="shared" si="3"/>
        <v>2761670.8259181846</v>
      </c>
    </row>
    <row r="32" spans="1:10" ht="21.95" hidden="1" customHeight="1">
      <c r="A32" s="3" t="s">
        <v>15</v>
      </c>
      <c r="B32" s="7">
        <f>113.9*1.063*1.166/0.51</f>
        <v>276.81228666666664</v>
      </c>
      <c r="C32" s="13">
        <v>2010</v>
      </c>
      <c r="D32" s="4">
        <f t="shared" si="4"/>
        <v>1826680.0642978002</v>
      </c>
      <c r="E32" s="4">
        <f t="shared" si="0"/>
        <v>2100682.0739424699</v>
      </c>
      <c r="F32" s="4">
        <f t="shared" si="1"/>
        <v>2107707.7664974616</v>
      </c>
      <c r="G32" s="4">
        <f t="shared" si="2"/>
        <v>1967193.9153976308</v>
      </c>
      <c r="H32" s="4">
        <f t="shared" si="3"/>
        <v>2740020.0964467004</v>
      </c>
    </row>
    <row r="33" spans="1:8" ht="21.95" hidden="1" customHeight="1">
      <c r="A33" s="3" t="s">
        <v>15</v>
      </c>
      <c r="B33" s="7">
        <f>117.6*1.166/0.51</f>
        <v>268.86588235294113</v>
      </c>
      <c r="C33" s="13">
        <v>2009</v>
      </c>
      <c r="D33" s="4">
        <f t="shared" si="4"/>
        <v>1774241.8632427587</v>
      </c>
      <c r="E33" s="4">
        <f t="shared" si="0"/>
        <v>2040378.1427291723</v>
      </c>
      <c r="F33" s="4">
        <f t="shared" si="1"/>
        <v>2047202.1498954908</v>
      </c>
      <c r="G33" s="4">
        <f t="shared" si="2"/>
        <v>1910722.0065691245</v>
      </c>
      <c r="H33" s="4">
        <f t="shared" si="3"/>
        <v>2661362.7948641381</v>
      </c>
    </row>
    <row r="34" spans="1:8" ht="21.95" hidden="1" customHeight="1">
      <c r="A34" s="3" t="s">
        <v>15</v>
      </c>
      <c r="B34" s="7">
        <f>113.2*1.166/0.51</f>
        <v>258.80627450980393</v>
      </c>
      <c r="C34" s="13">
        <v>2008</v>
      </c>
      <c r="D34" s="4">
        <f t="shared" si="4"/>
        <v>1707858.664277894</v>
      </c>
      <c r="E34" s="4">
        <f t="shared" si="0"/>
        <v>1964037.4639195779</v>
      </c>
      <c r="F34" s="4">
        <f t="shared" si="1"/>
        <v>1970606.1510898774</v>
      </c>
      <c r="G34" s="4">
        <f t="shared" si="2"/>
        <v>1839232.4076838854</v>
      </c>
      <c r="H34" s="4">
        <f t="shared" si="3"/>
        <v>2561787.9964168407</v>
      </c>
    </row>
    <row r="35" spans="1:8" ht="21.95" hidden="1" customHeight="1">
      <c r="A35" s="3" t="s">
        <v>15</v>
      </c>
      <c r="B35" s="7">
        <f>108.8*1.166/0.51</f>
        <v>248.74666666666664</v>
      </c>
      <c r="C35" s="2">
        <v>2007</v>
      </c>
      <c r="D35" s="4">
        <f t="shared" si="4"/>
        <v>1641475.4653130285</v>
      </c>
      <c r="E35" s="4">
        <f>D35*1.15</f>
        <v>1887696.7851099826</v>
      </c>
      <c r="F35" s="4">
        <f>D35*1.5/1.3</f>
        <v>1894010.1522842636</v>
      </c>
      <c r="G35" s="4">
        <f>D35*1.4/1.3</f>
        <v>1767742.8087986461</v>
      </c>
      <c r="H35" s="4">
        <f>D35*1.5</f>
        <v>2462213.1979695428</v>
      </c>
    </row>
    <row r="36" spans="1:8" ht="21.95" hidden="1" customHeight="1">
      <c r="A36" s="3" t="s">
        <v>15</v>
      </c>
      <c r="B36" s="7">
        <f>123.9/0.51</f>
        <v>242.94117647058823</v>
      </c>
      <c r="C36" s="2">
        <v>2006</v>
      </c>
      <c r="D36" s="4">
        <f t="shared" si="4"/>
        <v>1603165.1239175873</v>
      </c>
      <c r="E36" s="4">
        <f>D36*1.15</f>
        <v>1843639.8925052253</v>
      </c>
      <c r="F36" s="4">
        <f>D36*1.5/1.3</f>
        <v>1849805.9122126007</v>
      </c>
      <c r="G36" s="4">
        <f>D36*1.4/1.3</f>
        <v>1726485.5180650938</v>
      </c>
      <c r="H36" s="4">
        <f>D36*1.5</f>
        <v>2404747.6858763811</v>
      </c>
    </row>
    <row r="37" spans="1:8" ht="21.95" hidden="1" customHeight="1">
      <c r="A37" s="3" t="s">
        <v>15</v>
      </c>
      <c r="B37" s="7">
        <f>121.1/0.51</f>
        <v>237.45098039215685</v>
      </c>
      <c r="C37" s="2">
        <v>2005</v>
      </c>
      <c r="D37" s="4">
        <f t="shared" si="4"/>
        <v>1566935.4036030655</v>
      </c>
      <c r="E37" s="4">
        <f>D37*1.15</f>
        <v>1801975.7141435251</v>
      </c>
      <c r="F37" s="4">
        <f>D37*1.5/1.3</f>
        <v>1808002.3887727677</v>
      </c>
      <c r="G37" s="4">
        <f>D37*1.4/1.3</f>
        <v>1687468.8961879166</v>
      </c>
      <c r="H37" s="4">
        <f>D37*1.5</f>
        <v>2350403.1054045982</v>
      </c>
    </row>
    <row r="38" spans="1:8" hidden="1">
      <c r="A38" s="3" t="s">
        <v>15</v>
      </c>
      <c r="B38" s="7">
        <f>121/0.51</f>
        <v>237.25490196078431</v>
      </c>
      <c r="C38" s="2">
        <v>2003</v>
      </c>
      <c r="D38" s="4">
        <f t="shared" si="4"/>
        <v>1565641.485020404</v>
      </c>
      <c r="E38" s="4">
        <f>D38*1.15</f>
        <v>1800487.7077734645</v>
      </c>
      <c r="F38" s="4">
        <f>D38*1.5/1.3</f>
        <v>1806509.4057927739</v>
      </c>
      <c r="G38" s="4">
        <f>D38*1.4/1.3</f>
        <v>1686075.4454065887</v>
      </c>
      <c r="H38" s="4">
        <f>D38*1.5</f>
        <v>2348462.2275306061</v>
      </c>
    </row>
    <row r="39" spans="1:8">
      <c r="A39" s="17" t="s">
        <v>33</v>
      </c>
      <c r="B39" s="15">
        <v>197</v>
      </c>
      <c r="C39" s="14">
        <v>1992</v>
      </c>
      <c r="D39" s="4">
        <v>1300000</v>
      </c>
      <c r="E39" s="4">
        <f>D39*1.15</f>
        <v>1495000</v>
      </c>
      <c r="F39" s="4">
        <f>D39*1.5/1.3</f>
        <v>1500000</v>
      </c>
      <c r="G39" s="4">
        <f>D39*1.4/1.3</f>
        <v>1400000</v>
      </c>
      <c r="H39" s="4">
        <f>D39*1.5</f>
        <v>1950000</v>
      </c>
    </row>
    <row r="40" spans="1:8">
      <c r="A40" s="66" t="s">
        <v>61</v>
      </c>
      <c r="B40" s="66"/>
      <c r="C40" s="66"/>
      <c r="D40" s="66"/>
      <c r="E40" s="66"/>
      <c r="F40" s="66"/>
      <c r="G40" s="66"/>
      <c r="H40" s="67"/>
    </row>
  </sheetData>
  <pageMargins left="1.1811023622047245" right="0.19685039370078741" top="0.98425196850393704" bottom="0.98425196850393704" header="0.51181102362204722" footer="0.51181102362204722"/>
  <pageSetup paperSize="9" scale="74" orientation="landscape" horizontalDpi="4294967293" verticalDpi="4294967293" r:id="rId1"/>
  <headerFooter alignWithMargins="0">
    <oddFooter>&amp;L&amp;D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27" sqref="D2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3</vt:i4>
      </vt:variant>
    </vt:vector>
  </HeadingPairs>
  <TitlesOfParts>
    <vt:vector size="7" baseType="lpstr">
      <vt:lpstr>kommenteret</vt:lpstr>
      <vt:lpstr>A</vt:lpstr>
      <vt:lpstr>Overtagelsespriser 2024</vt:lpstr>
      <vt:lpstr>Ark1</vt:lpstr>
      <vt:lpstr>A!Udskriftsområde</vt:lpstr>
      <vt:lpstr>kommenteret!Udskriftsområde</vt:lpstr>
      <vt:lpstr>'Overtagelsespriser 2024'!Udskriftsområde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Thomsen</dc:creator>
  <cp:lastModifiedBy>Jacob Nissen Boldt</cp:lastModifiedBy>
  <cp:lastPrinted>2024-06-06T07:02:28Z</cp:lastPrinted>
  <dcterms:created xsi:type="dcterms:W3CDTF">2001-08-08T10:06:05Z</dcterms:created>
  <dcterms:modified xsi:type="dcterms:W3CDTF">2024-06-06T07:03:17Z</dcterms:modified>
</cp:coreProperties>
</file>