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OKO-faelles$\Entreprenører\Beregning af indeks til entreprenørafregninger\RME Omkostningsindeks start 2020\Til Hjemmesiden\"/>
    </mc:Choice>
  </mc:AlternateContent>
  <xr:revisionPtr revIDLastSave="0" documentId="13_ncr:1_{F5AC6075-2C0A-4366-BA33-DB49D553D5F6}" xr6:coauthVersionLast="47" xr6:coauthVersionMax="47" xr10:uidLastSave="{00000000-0000-0000-0000-000000000000}"/>
  <bookViews>
    <workbookView xWindow="-28920" yWindow="-120" windowWidth="29040" windowHeight="15840" tabRatio="714" xr2:uid="{00000000-000D-0000-FFFF-FFFF00000000}"/>
  </bookViews>
  <sheets>
    <sheet name="Indeks " sheetId="11" r:id="rId1"/>
    <sheet name="Reelle vægte" sheetId="12" r:id="rId2"/>
    <sheet name="Udvikling i indeks" sheetId="5" r:id="rId3"/>
    <sheet name="Kilder og dokumentation" sheetId="4" r:id="rId4"/>
    <sheet name="Note pris 10" sheetId="6" state="hidden" r:id="rId5"/>
    <sheet name="Beregning RME indeks" sheetId="10" r:id="rId6"/>
  </sheets>
  <definedNames>
    <definedName name="LønStigning2009" localSheetId="0">'Indeks '!$J$58</definedName>
    <definedName name="LønStigning2009">#REF!</definedName>
    <definedName name="LønStigning2010" localSheetId="0">'Indeks '!$J$82</definedName>
    <definedName name="LønStigning2010">#REF!</definedName>
    <definedName name="LønStigning2011" localSheetId="0">'Indeks '!$J$94</definedName>
    <definedName name="LønStigning2011">#REF!</definedName>
    <definedName name="PrisStigning2009" localSheetId="0">'Indeks '!$J$61</definedName>
    <definedName name="PrisStigning2009">#REF!</definedName>
    <definedName name="Prisstigning2010" localSheetId="0">'Indeks '!$J$85</definedName>
    <definedName name="Prisstigning2010">#REF!</definedName>
    <definedName name="PrisStigning2011" localSheetId="0">'Indeks '!$J$97</definedName>
    <definedName name="PrisStigning2011">#REF!</definedName>
    <definedName name="_xlnm.Print_Area" localSheetId="5">'Beregning RME indeks'!$A$1:$V$95</definedName>
    <definedName name="_xlnm.Print_Area" localSheetId="0">'Indeks '!$A$1:$J$264</definedName>
    <definedName name="_xlnm.Print_Area" localSheetId="3">'Kilder og dokumentation'!$A$1:$G$54</definedName>
    <definedName name="_xlnm.Print_Area" localSheetId="4">'Note pris 10'!$A$2:$K$7</definedName>
    <definedName name="_xlnm.Print_Titles" localSheetId="0">'Indeks 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8" i="11" l="1"/>
  <c r="E238" i="11"/>
  <c r="H238" i="11" s="1"/>
  <c r="F237" i="11"/>
  <c r="E237" i="11"/>
  <c r="C239" i="11"/>
  <c r="C238" i="11"/>
  <c r="C237" i="11"/>
  <c r="H237" i="11"/>
  <c r="F236" i="11"/>
  <c r="E236" i="11"/>
  <c r="H236" i="11" s="1"/>
  <c r="F235" i="11"/>
  <c r="H235" i="11" s="1"/>
  <c r="E235" i="11"/>
  <c r="F234" i="11"/>
  <c r="H234" i="11" s="1"/>
  <c r="E234" i="11"/>
  <c r="C236" i="11"/>
  <c r="C235" i="11"/>
  <c r="C234" i="11"/>
  <c r="C95" i="10"/>
  <c r="C94" i="10"/>
  <c r="C93" i="10"/>
  <c r="C92" i="10"/>
  <c r="C91" i="10"/>
  <c r="C90" i="10"/>
  <c r="C89" i="10"/>
  <c r="C88" i="10"/>
  <c r="C87" i="10"/>
  <c r="C86" i="10"/>
  <c r="C85" i="10"/>
  <c r="C84" i="10"/>
  <c r="A244" i="5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45" i="12"/>
  <c r="A246" i="12" s="1"/>
  <c r="A247" i="12" s="1"/>
  <c r="A248" i="12" s="1"/>
  <c r="A249" i="12" s="1"/>
  <c r="A250" i="12" s="1"/>
  <c r="A251" i="12" s="1"/>
  <c r="A252" i="12" s="1"/>
  <c r="A253" i="12" s="1"/>
  <c r="A254" i="12" s="1"/>
  <c r="A255" i="12" s="1"/>
  <c r="C80" i="10"/>
  <c r="E233" i="11"/>
  <c r="C233" i="11"/>
  <c r="E232" i="11"/>
  <c r="E231" i="11"/>
  <c r="C232" i="11"/>
  <c r="C231" i="11"/>
  <c r="E230" i="11"/>
  <c r="E229" i="11"/>
  <c r="E228" i="11"/>
  <c r="C230" i="11"/>
  <c r="C229" i="11"/>
  <c r="C228" i="11"/>
  <c r="E227" i="11"/>
  <c r="E226" i="11"/>
  <c r="E225" i="11"/>
  <c r="C227" i="11"/>
  <c r="C226" i="11"/>
  <c r="C225" i="11"/>
  <c r="E224" i="11"/>
  <c r="C224" i="11"/>
  <c r="E223" i="11"/>
  <c r="A232" i="5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33" i="12"/>
  <c r="A234" i="12" s="1"/>
  <c r="A235" i="12" s="1"/>
  <c r="A236" i="12" s="1"/>
  <c r="A237" i="12" s="1"/>
  <c r="A238" i="12" s="1"/>
  <c r="A239" i="12" s="1"/>
  <c r="A240" i="12" s="1"/>
  <c r="A241" i="12" s="1"/>
  <c r="A242" i="12" s="1"/>
  <c r="A243" i="12" s="1"/>
  <c r="C70" i="10"/>
  <c r="C69" i="10"/>
  <c r="C79" i="10"/>
  <c r="C78" i="10"/>
  <c r="C77" i="10"/>
  <c r="C76" i="10"/>
  <c r="C75" i="10"/>
  <c r="C74" i="10"/>
  <c r="C73" i="10"/>
  <c r="C72" i="10"/>
  <c r="C71" i="10"/>
  <c r="E222" i="11"/>
  <c r="C223" i="11"/>
  <c r="C222" i="11"/>
  <c r="E221" i="11"/>
  <c r="E220" i="11"/>
  <c r="C221" i="11"/>
  <c r="C220" i="11"/>
  <c r="C219" i="11"/>
  <c r="E219" i="11"/>
  <c r="E218" i="11"/>
  <c r="C218" i="11"/>
  <c r="C61" i="10"/>
  <c r="E217" i="11"/>
  <c r="E216" i="11"/>
  <c r="C217" i="11"/>
  <c r="C216" i="11"/>
  <c r="E215" i="11"/>
  <c r="C215" i="11"/>
  <c r="E214" i="11"/>
  <c r="C214" i="11"/>
  <c r="E213" i="11"/>
  <c r="C213" i="11"/>
  <c r="E212" i="11"/>
  <c r="E211" i="11"/>
  <c r="C212" i="11"/>
  <c r="C211" i="11"/>
  <c r="C210" i="11"/>
  <c r="E210" i="11"/>
  <c r="C54" i="10"/>
  <c r="C55" i="10"/>
  <c r="A220" i="5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21" i="12"/>
  <c r="A222" i="12" s="1"/>
  <c r="A223" i="12" s="1"/>
  <c r="A224" i="12" s="1"/>
  <c r="A225" i="12" s="1"/>
  <c r="A226" i="12" s="1"/>
  <c r="A227" i="12" s="1"/>
  <c r="A228" i="12" s="1"/>
  <c r="A229" i="12" s="1"/>
  <c r="A230" i="12" s="1"/>
  <c r="A231" i="12" s="1"/>
  <c r="C65" i="10"/>
  <c r="C64" i="10"/>
  <c r="C63" i="10"/>
  <c r="C62" i="10"/>
  <c r="C60" i="10"/>
  <c r="C59" i="10"/>
  <c r="C58" i="10"/>
  <c r="C57" i="10"/>
  <c r="C56" i="10"/>
  <c r="E209" i="11"/>
  <c r="E208" i="11"/>
  <c r="E207" i="11"/>
  <c r="C209" i="11"/>
  <c r="C208" i="11"/>
  <c r="C207" i="11"/>
  <c r="E206" i="11"/>
  <c r="E205" i="11"/>
  <c r="E204" i="11"/>
  <c r="C206" i="11" l="1"/>
  <c r="C205" i="11"/>
  <c r="C204" i="11"/>
  <c r="E203" i="11"/>
  <c r="E202" i="11" l="1"/>
  <c r="E201" i="11"/>
  <c r="C203" i="11"/>
  <c r="C202" i="11"/>
  <c r="C201" i="11"/>
  <c r="E200" i="11"/>
  <c r="E199" i="11"/>
  <c r="E198" i="11"/>
  <c r="C40" i="10"/>
  <c r="C200" i="11"/>
  <c r="C199" i="11"/>
  <c r="C198" i="11"/>
  <c r="C39" i="10"/>
  <c r="C50" i="10"/>
  <c r="C49" i="10"/>
  <c r="C48" i="10"/>
  <c r="C47" i="10"/>
  <c r="C46" i="10"/>
  <c r="C45" i="10"/>
  <c r="C44" i="10"/>
  <c r="C43" i="10"/>
  <c r="C42" i="10"/>
  <c r="C41" i="10"/>
  <c r="A208" i="5"/>
  <c r="A209" i="5"/>
  <c r="A210" i="5" s="1"/>
  <c r="A211" i="5" s="1"/>
  <c r="A212" i="5" s="1"/>
  <c r="A213" i="5" s="1"/>
  <c r="A214" i="5" s="1"/>
  <c r="A215" i="5" s="1"/>
  <c r="A216" i="5" s="1"/>
  <c r="A217" i="5" s="1"/>
  <c r="A218" i="5" s="1"/>
  <c r="A209" i="12"/>
  <c r="A210" i="12" s="1"/>
  <c r="A211" i="12" s="1"/>
  <c r="A212" i="12" s="1"/>
  <c r="A213" i="12" s="1"/>
  <c r="A214" i="12" s="1"/>
  <c r="A215" i="12" s="1"/>
  <c r="A216" i="12" s="1"/>
  <c r="A217" i="12" s="1"/>
  <c r="A218" i="12" s="1"/>
  <c r="A219" i="12" s="1"/>
  <c r="A211" i="11"/>
  <c r="A212" i="11" s="1"/>
  <c r="A213" i="11" s="1"/>
  <c r="A214" i="11" s="1"/>
  <c r="A215" i="11" s="1"/>
  <c r="A216" i="11" s="1"/>
  <c r="A217" i="11" s="1"/>
  <c r="A218" i="11" s="1"/>
  <c r="A219" i="11" s="1"/>
  <c r="A220" i="11" s="1"/>
  <c r="A221" i="11" s="1"/>
  <c r="E197" i="11"/>
  <c r="C35" i="10"/>
  <c r="E196" i="11"/>
  <c r="C34" i="10"/>
  <c r="E195" i="11"/>
  <c r="C33" i="10"/>
  <c r="C197" i="11"/>
  <c r="C196" i="11"/>
  <c r="C195" i="11"/>
  <c r="E194" i="11"/>
  <c r="C32" i="10"/>
  <c r="E193" i="11"/>
  <c r="C31" i="10"/>
  <c r="C30" i="10"/>
  <c r="E192" i="11"/>
  <c r="C194" i="11"/>
  <c r="C193" i="11"/>
  <c r="C192" i="11"/>
  <c r="E191" i="11"/>
  <c r="C29" i="10"/>
  <c r="A197" i="12"/>
  <c r="A198" i="12" s="1"/>
  <c r="A199" i="12" s="1"/>
  <c r="A200" i="12" s="1"/>
  <c r="A201" i="12" s="1"/>
  <c r="A202" i="12" s="1"/>
  <c r="A203" i="12" s="1"/>
  <c r="A204" i="12" s="1"/>
  <c r="A205" i="12" s="1"/>
  <c r="A206" i="12" s="1"/>
  <c r="A207" i="12" s="1"/>
  <c r="A185" i="12"/>
  <c r="A186" i="12" s="1"/>
  <c r="A187" i="12" s="1"/>
  <c r="A188" i="12" s="1"/>
  <c r="A189" i="12" s="1"/>
  <c r="A190" i="12" s="1"/>
  <c r="A191" i="12" s="1"/>
  <c r="A192" i="12" s="1"/>
  <c r="A193" i="12" s="1"/>
  <c r="A194" i="12" s="1"/>
  <c r="A195" i="12" s="1"/>
  <c r="A173" i="12"/>
  <c r="A174" i="12" s="1"/>
  <c r="A175" i="12" s="1"/>
  <c r="A176" i="12" s="1"/>
  <c r="A177" i="12" s="1"/>
  <c r="A178" i="12" s="1"/>
  <c r="A179" i="12" s="1"/>
  <c r="A180" i="12" s="1"/>
  <c r="A181" i="12" s="1"/>
  <c r="A182" i="12" s="1"/>
  <c r="A183" i="12" s="1"/>
  <c r="A161" i="12"/>
  <c r="A162" i="12" s="1"/>
  <c r="A163" i="12" s="1"/>
  <c r="A164" i="12" s="1"/>
  <c r="A165" i="12" s="1"/>
  <c r="A166" i="12" s="1"/>
  <c r="A167" i="12" s="1"/>
  <c r="A168" i="12" s="1"/>
  <c r="A169" i="12" s="1"/>
  <c r="A170" i="12" s="1"/>
  <c r="A171" i="12" s="1"/>
  <c r="A149" i="12"/>
  <c r="A150" i="12" s="1"/>
  <c r="A151" i="12" s="1"/>
  <c r="A152" i="12" s="1"/>
  <c r="A153" i="12" s="1"/>
  <c r="A154" i="12" s="1"/>
  <c r="A155" i="12" s="1"/>
  <c r="A156" i="12" s="1"/>
  <c r="A157" i="12" s="1"/>
  <c r="A158" i="12" s="1"/>
  <c r="A159" i="12" s="1"/>
  <c r="A137" i="12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25" i="12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13" i="12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01" i="12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89" i="12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77" i="12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H73" i="12"/>
  <c r="A65" i="12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53" i="12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41" i="12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F7" i="10"/>
  <c r="F9" i="10" s="1"/>
  <c r="C7" i="10"/>
  <c r="C12" i="10" s="1"/>
  <c r="D7" i="10"/>
  <c r="D9" i="10" s="1"/>
  <c r="E7" i="10"/>
  <c r="E9" i="10" s="1"/>
  <c r="B7" i="10"/>
  <c r="B9" i="10" s="1"/>
  <c r="A199" i="11"/>
  <c r="A200" i="11" s="1"/>
  <c r="A201" i="11" s="1"/>
  <c r="A202" i="11" s="1"/>
  <c r="A203" i="11" s="1"/>
  <c r="A204" i="11" s="1"/>
  <c r="A205" i="11" s="1"/>
  <c r="A206" i="11" s="1"/>
  <c r="A207" i="11" s="1"/>
  <c r="A208" i="11" s="1"/>
  <c r="A209" i="11" s="1"/>
  <c r="C191" i="11"/>
  <c r="E190" i="11"/>
  <c r="C190" i="11"/>
  <c r="E189" i="11"/>
  <c r="C189" i="11"/>
  <c r="E188" i="11"/>
  <c r="C188" i="11"/>
  <c r="E187" i="11"/>
  <c r="C187" i="11"/>
  <c r="A187" i="11"/>
  <c r="A188" i="11" s="1"/>
  <c r="A189" i="11" s="1"/>
  <c r="A190" i="11" s="1"/>
  <c r="A191" i="11" s="1"/>
  <c r="A192" i="11" s="1"/>
  <c r="A193" i="11" s="1"/>
  <c r="A194" i="11" s="1"/>
  <c r="A195" i="11" s="1"/>
  <c r="A196" i="11" s="1"/>
  <c r="A197" i="11" s="1"/>
  <c r="E186" i="11"/>
  <c r="C186" i="11"/>
  <c r="E183" i="11"/>
  <c r="D183" i="11"/>
  <c r="C183" i="11"/>
  <c r="E182" i="11"/>
  <c r="D182" i="11"/>
  <c r="C182" i="11"/>
  <c r="E181" i="11"/>
  <c r="D181" i="11"/>
  <c r="C181" i="11"/>
  <c r="E180" i="11"/>
  <c r="D180" i="11"/>
  <c r="C180" i="11"/>
  <c r="E179" i="11"/>
  <c r="D179" i="11"/>
  <c r="C179" i="11"/>
  <c r="E178" i="11"/>
  <c r="D178" i="11"/>
  <c r="C178" i="11"/>
  <c r="E177" i="11"/>
  <c r="D177" i="11"/>
  <c r="C177" i="11"/>
  <c r="G176" i="11"/>
  <c r="E176" i="11"/>
  <c r="D176" i="11"/>
  <c r="C176" i="11"/>
  <c r="E175" i="11"/>
  <c r="D175" i="11"/>
  <c r="C175" i="11"/>
  <c r="E174" i="11"/>
  <c r="D174" i="11"/>
  <c r="C174" i="11"/>
  <c r="F173" i="11"/>
  <c r="E173" i="11"/>
  <c r="D173" i="11"/>
  <c r="C173" i="11"/>
  <c r="A173" i="11"/>
  <c r="A174" i="11" s="1"/>
  <c r="A175" i="11" s="1"/>
  <c r="A176" i="11" s="1"/>
  <c r="A177" i="11" s="1"/>
  <c r="A178" i="11" s="1"/>
  <c r="A179" i="11" s="1"/>
  <c r="A180" i="11" s="1"/>
  <c r="F172" i="11"/>
  <c r="E172" i="11"/>
  <c r="D172" i="11"/>
  <c r="C172" i="11"/>
  <c r="F171" i="11"/>
  <c r="E171" i="11"/>
  <c r="D171" i="11"/>
  <c r="C171" i="11"/>
  <c r="F170" i="11"/>
  <c r="E170" i="11"/>
  <c r="D170" i="11"/>
  <c r="C170" i="11"/>
  <c r="F169" i="11"/>
  <c r="E169" i="11"/>
  <c r="D169" i="11"/>
  <c r="C169" i="11"/>
  <c r="F168" i="11"/>
  <c r="E168" i="11"/>
  <c r="D168" i="11"/>
  <c r="C168" i="11"/>
  <c r="F167" i="11"/>
  <c r="E167" i="11"/>
  <c r="D167" i="11"/>
  <c r="C167" i="11"/>
  <c r="F166" i="11"/>
  <c r="E166" i="11"/>
  <c r="D166" i="11"/>
  <c r="C166" i="11"/>
  <c r="F165" i="11"/>
  <c r="E165" i="11"/>
  <c r="D165" i="11"/>
  <c r="C165" i="11"/>
  <c r="F164" i="11"/>
  <c r="E164" i="11"/>
  <c r="D164" i="11"/>
  <c r="C164" i="11"/>
  <c r="F163" i="11"/>
  <c r="E163" i="11"/>
  <c r="D163" i="11"/>
  <c r="C163" i="11"/>
  <c r="F162" i="11"/>
  <c r="E162" i="11"/>
  <c r="D162" i="11"/>
  <c r="C162" i="11"/>
  <c r="F161" i="11"/>
  <c r="E161" i="11"/>
  <c r="D161" i="11"/>
  <c r="C161" i="11"/>
  <c r="A161" i="1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F160" i="11"/>
  <c r="E160" i="11"/>
  <c r="D160" i="11"/>
  <c r="C160" i="11"/>
  <c r="F159" i="11"/>
  <c r="E159" i="11"/>
  <c r="D159" i="11"/>
  <c r="C159" i="11"/>
  <c r="F158" i="11"/>
  <c r="E158" i="11"/>
  <c r="D158" i="11"/>
  <c r="C158" i="11"/>
  <c r="F157" i="11"/>
  <c r="E157" i="11"/>
  <c r="D157" i="11"/>
  <c r="C157" i="11"/>
  <c r="F156" i="11"/>
  <c r="E156" i="11"/>
  <c r="D156" i="11"/>
  <c r="C156" i="11"/>
  <c r="F155" i="11"/>
  <c r="E155" i="11"/>
  <c r="D155" i="11"/>
  <c r="C155" i="11"/>
  <c r="G154" i="11"/>
  <c r="F154" i="11"/>
  <c r="E154" i="11"/>
  <c r="D154" i="11"/>
  <c r="C154" i="11"/>
  <c r="F153" i="11"/>
  <c r="E153" i="11"/>
  <c r="D153" i="11"/>
  <c r="C153" i="11"/>
  <c r="F152" i="11"/>
  <c r="E152" i="11"/>
  <c r="D152" i="11"/>
  <c r="C152" i="11"/>
  <c r="F151" i="11"/>
  <c r="E151" i="11"/>
  <c r="D151" i="11"/>
  <c r="C151" i="11"/>
  <c r="F150" i="11"/>
  <c r="E150" i="11"/>
  <c r="D150" i="11"/>
  <c r="F149" i="11"/>
  <c r="E149" i="11"/>
  <c r="D149" i="11"/>
  <c r="A149" i="1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F148" i="11"/>
  <c r="E148" i="11"/>
  <c r="D148" i="11"/>
  <c r="C148" i="11"/>
  <c r="F147" i="11"/>
  <c r="E147" i="11"/>
  <c r="D147" i="11"/>
  <c r="C147" i="11"/>
  <c r="F146" i="11"/>
  <c r="E146" i="11"/>
  <c r="D146" i="11"/>
  <c r="C146" i="11"/>
  <c r="F145" i="11"/>
  <c r="E145" i="11"/>
  <c r="D145" i="11"/>
  <c r="C145" i="11"/>
  <c r="F144" i="11"/>
  <c r="E144" i="11"/>
  <c r="D144" i="11"/>
  <c r="C144" i="11"/>
  <c r="F143" i="11"/>
  <c r="E143" i="11"/>
  <c r="D143" i="11"/>
  <c r="C143" i="11"/>
  <c r="F142" i="11"/>
  <c r="E142" i="11"/>
  <c r="D142" i="11"/>
  <c r="C142" i="11"/>
  <c r="F141" i="11"/>
  <c r="E141" i="11"/>
  <c r="D141" i="11"/>
  <c r="C141" i="11"/>
  <c r="F140" i="11"/>
  <c r="E140" i="11"/>
  <c r="D140" i="11"/>
  <c r="C140" i="11"/>
  <c r="F139" i="11"/>
  <c r="E139" i="11"/>
  <c r="D139" i="11"/>
  <c r="C139" i="11"/>
  <c r="G138" i="11"/>
  <c r="F138" i="11"/>
  <c r="E138" i="11"/>
  <c r="D138" i="11"/>
  <c r="C138" i="11"/>
  <c r="F137" i="11"/>
  <c r="C137" i="11"/>
  <c r="A137" i="1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F136" i="11"/>
  <c r="C136" i="11"/>
  <c r="F135" i="11"/>
  <c r="C135" i="11"/>
  <c r="F134" i="11"/>
  <c r="H134" i="11" s="1"/>
  <c r="C134" i="11"/>
  <c r="F133" i="11"/>
  <c r="C133" i="11"/>
  <c r="F132" i="11"/>
  <c r="C132" i="11"/>
  <c r="F131" i="11"/>
  <c r="C131" i="11"/>
  <c r="F130" i="11"/>
  <c r="C130" i="11"/>
  <c r="F129" i="11"/>
  <c r="C129" i="11"/>
  <c r="C128" i="11"/>
  <c r="H128" i="11" s="1"/>
  <c r="C127" i="11"/>
  <c r="H127" i="11" s="1"/>
  <c r="C126" i="11"/>
  <c r="H126" i="11" s="1"/>
  <c r="F125" i="11"/>
  <c r="C125" i="11"/>
  <c r="A125" i="1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F124" i="11"/>
  <c r="H124" i="11" s="1"/>
  <c r="F123" i="11"/>
  <c r="F122" i="11"/>
  <c r="C121" i="11"/>
  <c r="C123" i="11" s="1"/>
  <c r="C118" i="11"/>
  <c r="C119" i="11" s="1"/>
  <c r="H119" i="11" s="1"/>
  <c r="C115" i="11"/>
  <c r="C116" i="11" s="1"/>
  <c r="H116" i="11" s="1"/>
  <c r="A113" i="1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C112" i="11"/>
  <c r="C113" i="11" s="1"/>
  <c r="H113" i="11" s="1"/>
  <c r="C109" i="11"/>
  <c r="C110" i="11" s="1"/>
  <c r="H110" i="11" s="1"/>
  <c r="C111" i="11"/>
  <c r="H111" i="11" s="1"/>
  <c r="C108" i="11"/>
  <c r="H108" i="11" s="1"/>
  <c r="C107" i="11"/>
  <c r="H107" i="11"/>
  <c r="C106" i="11"/>
  <c r="H106" i="11" s="1"/>
  <c r="C105" i="11"/>
  <c r="H105" i="11" s="1"/>
  <c r="E104" i="11"/>
  <c r="C104" i="11"/>
  <c r="F103" i="11"/>
  <c r="C103" i="11"/>
  <c r="C102" i="11"/>
  <c r="H102" i="11" s="1"/>
  <c r="H101" i="11"/>
  <c r="C101" i="11"/>
  <c r="A101" i="1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C100" i="11"/>
  <c r="H100" i="11" s="1"/>
  <c r="D99" i="11"/>
  <c r="C99" i="11"/>
  <c r="C98" i="11"/>
  <c r="H98" i="11" s="1"/>
  <c r="H97" i="11"/>
  <c r="C96" i="11"/>
  <c r="H96" i="11" s="1"/>
  <c r="C95" i="11"/>
  <c r="H95" i="11" s="1"/>
  <c r="H94" i="11"/>
  <c r="C93" i="11"/>
  <c r="H93" i="11" s="1"/>
  <c r="C92" i="11"/>
  <c r="H92" i="11" s="1"/>
  <c r="H91" i="11"/>
  <c r="C90" i="11"/>
  <c r="H90" i="11" s="1"/>
  <c r="C89" i="11"/>
  <c r="H89" i="11" s="1"/>
  <c r="A89" i="1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H88" i="11"/>
  <c r="C87" i="11"/>
  <c r="H87" i="11" s="1"/>
  <c r="C86" i="11"/>
  <c r="H86" i="11" s="1"/>
  <c r="H85" i="11"/>
  <c r="C84" i="11"/>
  <c r="H84" i="11" s="1"/>
  <c r="C83" i="11"/>
  <c r="H83" i="11" s="1"/>
  <c r="H82" i="11"/>
  <c r="C81" i="11"/>
  <c r="H81" i="11" s="1"/>
  <c r="C80" i="11"/>
  <c r="H80" i="11" s="1"/>
  <c r="H79" i="11"/>
  <c r="H78" i="11"/>
  <c r="H77" i="11"/>
  <c r="A77" i="1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H76" i="11"/>
  <c r="H75" i="11"/>
  <c r="H74" i="11"/>
  <c r="H73" i="11"/>
  <c r="H72" i="11"/>
  <c r="H71" i="11"/>
  <c r="H70" i="11"/>
  <c r="H69" i="11"/>
  <c r="H68" i="11"/>
  <c r="H67" i="11"/>
  <c r="H66" i="11"/>
  <c r="H65" i="11"/>
  <c r="A65" i="1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H64" i="11"/>
  <c r="H63" i="11"/>
  <c r="H62" i="11"/>
  <c r="H61" i="11"/>
  <c r="H60" i="11"/>
  <c r="H59" i="11"/>
  <c r="H58" i="11"/>
  <c r="H57" i="11"/>
  <c r="H56" i="11"/>
  <c r="H55" i="11"/>
  <c r="H54" i="11"/>
  <c r="H53" i="11"/>
  <c r="A53" i="1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H52" i="11"/>
  <c r="H51" i="11"/>
  <c r="H50" i="11"/>
  <c r="H49" i="11"/>
  <c r="H48" i="11"/>
  <c r="H47" i="11"/>
  <c r="H46" i="11"/>
  <c r="H45" i="11"/>
  <c r="H44" i="11"/>
  <c r="H43" i="11"/>
  <c r="H42" i="11"/>
  <c r="H41" i="11"/>
  <c r="A41" i="1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H40" i="11"/>
  <c r="H39" i="11"/>
  <c r="H38" i="11"/>
  <c r="H37" i="11"/>
  <c r="H36" i="11"/>
  <c r="H35" i="11"/>
  <c r="H34" i="11"/>
  <c r="H33" i="11"/>
  <c r="H32" i="11"/>
  <c r="H31" i="11"/>
  <c r="H30" i="11"/>
  <c r="H29" i="11"/>
  <c r="A29" i="1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H28" i="11"/>
  <c r="H27" i="11"/>
  <c r="H26" i="11"/>
  <c r="H25" i="11"/>
  <c r="H24" i="11"/>
  <c r="H23" i="11"/>
  <c r="H22" i="11"/>
  <c r="H21" i="11"/>
  <c r="H20" i="11"/>
  <c r="H19" i="11"/>
  <c r="H18" i="11"/>
  <c r="H17" i="11"/>
  <c r="A17" i="1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H16" i="11"/>
  <c r="H15" i="11"/>
  <c r="H14" i="11"/>
  <c r="H13" i="11"/>
  <c r="H12" i="11"/>
  <c r="H11" i="11"/>
  <c r="H10" i="11"/>
  <c r="I10" i="11" s="1"/>
  <c r="I9" i="11"/>
  <c r="I8" i="11"/>
  <c r="I7" i="11"/>
  <c r="I6" i="11"/>
  <c r="I5" i="11"/>
  <c r="A5" i="1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H109" i="11"/>
  <c r="L23" i="10"/>
  <c r="L15" i="10"/>
  <c r="L9" i="10"/>
  <c r="L10" i="10"/>
  <c r="L11" i="10"/>
  <c r="C24" i="10"/>
  <c r="F13" i="10"/>
  <c r="E13" i="10"/>
  <c r="D13" i="10"/>
  <c r="B13" i="10"/>
  <c r="A196" i="5"/>
  <c r="A197" i="5"/>
  <c r="A198" i="5" s="1"/>
  <c r="A199" i="5" s="1"/>
  <c r="A200" i="5" s="1"/>
  <c r="A201" i="5" s="1"/>
  <c r="A202" i="5" s="1"/>
  <c r="A203" i="5" s="1"/>
  <c r="A204" i="5" s="1"/>
  <c r="A205" i="5" s="1"/>
  <c r="A206" i="5" s="1"/>
  <c r="A184" i="5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C152" i="5"/>
  <c r="D152" i="5"/>
  <c r="C150" i="5"/>
  <c r="E155" i="5"/>
  <c r="A172" i="5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60" i="5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C7" i="6"/>
  <c r="A4" i="5"/>
  <c r="A5" i="5" s="1"/>
  <c r="A6" i="5" s="1"/>
  <c r="A7" i="5" s="1"/>
  <c r="A8" i="5" s="1"/>
  <c r="A9" i="5" s="1"/>
  <c r="A10" i="5" s="1"/>
  <c r="A11" i="5" s="1"/>
  <c r="A12" i="5" s="1"/>
  <c r="A13" i="5" s="1"/>
  <c r="A14" i="5" s="1"/>
  <c r="D9" i="5"/>
  <c r="F14" i="5"/>
  <c r="G14" i="5"/>
  <c r="A16" i="5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G26" i="5"/>
  <c r="A28" i="5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40" i="5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2" i="5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4" i="5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6" i="5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8" i="5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100" i="5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2" i="5"/>
  <c r="A113" i="5"/>
  <c r="A114" i="5" s="1"/>
  <c r="A115" i="5" s="1"/>
  <c r="A116" i="5" s="1"/>
  <c r="A117" i="5" s="1"/>
  <c r="A118" i="5" s="1"/>
  <c r="A119" i="5" s="1"/>
  <c r="A120" i="5" s="1"/>
  <c r="A121" i="5" s="1"/>
  <c r="A122" i="5" s="1"/>
  <c r="A124" i="5"/>
  <c r="A125" i="5"/>
  <c r="A126" i="5" s="1"/>
  <c r="A127" i="5" s="1"/>
  <c r="A128" i="5" s="1"/>
  <c r="A129" i="5" s="1"/>
  <c r="A130" i="5" s="1"/>
  <c r="A131" i="5" s="1"/>
  <c r="A132" i="5" s="1"/>
  <c r="A133" i="5" s="1"/>
  <c r="A134" i="5" s="1"/>
  <c r="A136" i="5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8" i="5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C23" i="5"/>
  <c r="C28" i="5"/>
  <c r="C34" i="5"/>
  <c r="D35" i="5"/>
  <c r="C58" i="5"/>
  <c r="D58" i="5"/>
  <c r="C59" i="5"/>
  <c r="C78" i="5"/>
  <c r="C92" i="5"/>
  <c r="D92" i="5"/>
  <c r="C66" i="5"/>
  <c r="D66" i="5"/>
  <c r="C25" i="5"/>
  <c r="C50" i="5"/>
  <c r="D50" i="5"/>
  <c r="C64" i="5"/>
  <c r="D64" i="5"/>
  <c r="C70" i="5"/>
  <c r="C73" i="5"/>
  <c r="H7" i="6"/>
  <c r="C61" i="5"/>
  <c r="C43" i="5"/>
  <c r="D43" i="5"/>
  <c r="C26" i="5"/>
  <c r="C11" i="5"/>
  <c r="D11" i="5"/>
  <c r="C37" i="5"/>
  <c r="D38" i="5"/>
  <c r="C29" i="5"/>
  <c r="D30" i="5"/>
  <c r="C124" i="5"/>
  <c r="C14" i="5"/>
  <c r="D15" i="5"/>
  <c r="C62" i="5"/>
  <c r="C36" i="5"/>
  <c r="C16" i="5"/>
  <c r="C24" i="5"/>
  <c r="D24" i="5"/>
  <c r="C40" i="5"/>
  <c r="C76" i="5"/>
  <c r="C47" i="5"/>
  <c r="C60" i="5"/>
  <c r="E62" i="5"/>
  <c r="C45" i="5"/>
  <c r="E50" i="5"/>
  <c r="C44" i="5"/>
  <c r="C96" i="5"/>
  <c r="C82" i="5"/>
  <c r="C81" i="5"/>
  <c r="F92" i="5"/>
  <c r="C33" i="5"/>
  <c r="C20" i="5"/>
  <c r="C97" i="5"/>
  <c r="D98" i="5"/>
  <c r="C75" i="5"/>
  <c r="C17" i="5"/>
  <c r="C68" i="5"/>
  <c r="C72" i="5"/>
  <c r="C77" i="5"/>
  <c r="D77" i="5"/>
  <c r="C54" i="5"/>
  <c r="C52" i="5"/>
  <c r="C51" i="5"/>
  <c r="C48" i="5"/>
  <c r="C49" i="5"/>
  <c r="C27" i="5"/>
  <c r="C9" i="5"/>
  <c r="C10" i="5"/>
  <c r="C65" i="5"/>
  <c r="C145" i="5"/>
  <c r="C128" i="5"/>
  <c r="D128" i="5"/>
  <c r="C88" i="5"/>
  <c r="C85" i="5"/>
  <c r="C84" i="5"/>
  <c r="C67" i="5"/>
  <c r="C71" i="5"/>
  <c r="C74" i="5"/>
  <c r="C135" i="5"/>
  <c r="C105" i="5"/>
  <c r="C55" i="5"/>
  <c r="C80" i="5"/>
  <c r="C131" i="5"/>
  <c r="C132" i="5"/>
  <c r="C86" i="5"/>
  <c r="C123" i="5"/>
  <c r="C133" i="5"/>
  <c r="C140" i="5"/>
  <c r="D141" i="5"/>
  <c r="C127" i="5"/>
  <c r="C126" i="5"/>
  <c r="D126" i="5"/>
  <c r="C125" i="5"/>
  <c r="D125" i="5"/>
  <c r="C100" i="5"/>
  <c r="C46" i="5"/>
  <c r="C30" i="5"/>
  <c r="C56" i="5"/>
  <c r="D57" i="5"/>
  <c r="C35" i="5"/>
  <c r="D36" i="5"/>
  <c r="C89" i="5"/>
  <c r="C103" i="5"/>
  <c r="C109" i="5"/>
  <c r="D109" i="5"/>
  <c r="C108" i="5"/>
  <c r="C99" i="5"/>
  <c r="E101" i="5"/>
  <c r="C101" i="5"/>
  <c r="D101" i="5"/>
  <c r="C104" i="5"/>
  <c r="D104" i="5"/>
  <c r="C107" i="5"/>
  <c r="D108" i="5"/>
  <c r="C18" i="5"/>
  <c r="E20" i="5"/>
  <c r="C63" i="5"/>
  <c r="C69" i="5"/>
  <c r="C39" i="5"/>
  <c r="C158" i="5"/>
  <c r="D159" i="5"/>
  <c r="C87" i="5"/>
  <c r="C94" i="5"/>
  <c r="C38" i="5"/>
  <c r="C41" i="5"/>
  <c r="C15" i="5"/>
  <c r="C156" i="5"/>
  <c r="C143" i="5"/>
  <c r="C151" i="5"/>
  <c r="D151" i="5"/>
  <c r="C95" i="5"/>
  <c r="D95" i="5"/>
  <c r="C32" i="5"/>
  <c r="C31" i="5"/>
  <c r="D31" i="5"/>
  <c r="C13" i="5"/>
  <c r="C57" i="5"/>
  <c r="C42" i="5"/>
  <c r="C19" i="5"/>
  <c r="C12" i="5"/>
  <c r="C139" i="5"/>
  <c r="C144" i="5"/>
  <c r="C147" i="5"/>
  <c r="E149" i="5"/>
  <c r="C146" i="5"/>
  <c r="C141" i="5"/>
  <c r="E143" i="5"/>
  <c r="C154" i="5"/>
  <c r="C155" i="5"/>
  <c r="D155" i="5"/>
  <c r="C117" i="5"/>
  <c r="C157" i="5"/>
  <c r="C116" i="5"/>
  <c r="C122" i="5"/>
  <c r="D122" i="5"/>
  <c r="C137" i="5"/>
  <c r="C113" i="5"/>
  <c r="C112" i="5"/>
  <c r="D34" i="5"/>
  <c r="D97" i="5"/>
  <c r="D74" i="5"/>
  <c r="D18" i="5"/>
  <c r="D69" i="5"/>
  <c r="D117" i="5"/>
  <c r="D89" i="5"/>
  <c r="D26" i="5"/>
  <c r="E47" i="5"/>
  <c r="D29" i="5"/>
  <c r="D86" i="5"/>
  <c r="D45" i="5"/>
  <c r="D27" i="5"/>
  <c r="D157" i="5"/>
  <c r="C106" i="5"/>
  <c r="D107" i="5"/>
  <c r="C90" i="5"/>
  <c r="C53" i="5"/>
  <c r="C149" i="5"/>
  <c r="D150" i="5"/>
  <c r="E32" i="5"/>
  <c r="C119" i="5"/>
  <c r="F20" i="5"/>
  <c r="C148" i="5"/>
  <c r="C110" i="5"/>
  <c r="C91" i="5"/>
  <c r="D91" i="5"/>
  <c r="C153" i="5"/>
  <c r="E158" i="5"/>
  <c r="C134" i="5"/>
  <c r="C83" i="5"/>
  <c r="D83" i="5"/>
  <c r="C118" i="5"/>
  <c r="D46" i="5"/>
  <c r="C111" i="5"/>
  <c r="C138" i="5"/>
  <c r="D139" i="5"/>
  <c r="C142" i="5"/>
  <c r="D142" i="5"/>
  <c r="D13" i="5"/>
  <c r="C93" i="5"/>
  <c r="C114" i="5"/>
  <c r="E119" i="5"/>
  <c r="C115" i="5"/>
  <c r="C22" i="5"/>
  <c r="D23" i="5"/>
  <c r="C21" i="5"/>
  <c r="C167" i="5"/>
  <c r="D167" i="5"/>
  <c r="C130" i="5"/>
  <c r="C79" i="5"/>
  <c r="D79" i="5"/>
  <c r="C102" i="5"/>
  <c r="D102" i="5"/>
  <c r="F56" i="5"/>
  <c r="C120" i="5"/>
  <c r="E122" i="5"/>
  <c r="E146" i="5"/>
  <c r="D143" i="5"/>
  <c r="C98" i="5"/>
  <c r="C160" i="5"/>
  <c r="C129" i="5"/>
  <c r="D154" i="5"/>
  <c r="G38" i="5"/>
  <c r="C162" i="5"/>
  <c r="C164" i="5"/>
  <c r="C165" i="5"/>
  <c r="C179" i="5"/>
  <c r="C166" i="5"/>
  <c r="C161" i="5"/>
  <c r="C163" i="5"/>
  <c r="F104" i="5"/>
  <c r="E98" i="5"/>
  <c r="H98" i="5"/>
  <c r="C136" i="5"/>
  <c r="G98" i="5"/>
  <c r="F98" i="5"/>
  <c r="C121" i="5"/>
  <c r="D131" i="5"/>
  <c r="C169" i="5"/>
  <c r="D170" i="5"/>
  <c r="C174" i="5"/>
  <c r="C171" i="5"/>
  <c r="C176" i="5"/>
  <c r="D176" i="5"/>
  <c r="C178" i="5"/>
  <c r="D178" i="5"/>
  <c r="C170" i="5"/>
  <c r="C177" i="5"/>
  <c r="D121" i="5"/>
  <c r="C159" i="5"/>
  <c r="C168" i="5"/>
  <c r="D168" i="5"/>
  <c r="C173" i="5"/>
  <c r="D174" i="5"/>
  <c r="C175" i="5"/>
  <c r="C182" i="5"/>
  <c r="D137" i="5"/>
  <c r="E140" i="5"/>
  <c r="E164" i="5"/>
  <c r="C172" i="5"/>
  <c r="C180" i="5"/>
  <c r="E182" i="5"/>
  <c r="C181" i="5"/>
  <c r="D175" i="5"/>
  <c r="D172" i="5"/>
  <c r="D180" i="5"/>
  <c r="E176" i="5"/>
  <c r="H170" i="5"/>
  <c r="F164" i="5"/>
  <c r="D160" i="5"/>
  <c r="E179" i="5"/>
  <c r="D171" i="5"/>
  <c r="D169" i="5"/>
  <c r="D163" i="5"/>
  <c r="D164" i="5"/>
  <c r="D166" i="5"/>
  <c r="F176" i="5"/>
  <c r="E167" i="5"/>
  <c r="F170" i="5"/>
  <c r="F32" i="5"/>
  <c r="E23" i="5"/>
  <c r="D129" i="5"/>
  <c r="E131" i="5"/>
  <c r="D19" i="5"/>
  <c r="D76" i="5"/>
  <c r="E80" i="5"/>
  <c r="D41" i="5"/>
  <c r="D62" i="5"/>
  <c r="D173" i="5"/>
  <c r="E125" i="5"/>
  <c r="F86" i="5"/>
  <c r="G86" i="5"/>
  <c r="E83" i="5"/>
  <c r="D120" i="5"/>
  <c r="E95" i="5"/>
  <c r="D90" i="5"/>
  <c r="E92" i="5"/>
  <c r="E71" i="5"/>
  <c r="D144" i="5"/>
  <c r="D42" i="5"/>
  <c r="D32" i="5"/>
  <c r="D132" i="5"/>
  <c r="E134" i="5"/>
  <c r="D67" i="5"/>
  <c r="D52" i="5"/>
  <c r="D51" i="5"/>
  <c r="G62" i="5"/>
  <c r="E56" i="5"/>
  <c r="D73" i="5"/>
  <c r="D72" i="5"/>
  <c r="D82" i="5"/>
  <c r="G170" i="5"/>
  <c r="E170" i="5"/>
  <c r="H134" i="5"/>
  <c r="D179" i="5"/>
  <c r="D84" i="5"/>
  <c r="H158" i="5"/>
  <c r="D60" i="5"/>
  <c r="F116" i="5"/>
  <c r="D111" i="5"/>
  <c r="D110" i="5"/>
  <c r="E68" i="5"/>
  <c r="D37" i="5"/>
  <c r="D61" i="5"/>
  <c r="D113" i="5"/>
  <c r="F62" i="5"/>
  <c r="D87" i="5"/>
  <c r="E89" i="5"/>
  <c r="G74" i="5"/>
  <c r="D63" i="5"/>
  <c r="F68" i="5"/>
  <c r="E65" i="5"/>
  <c r="D133" i="5"/>
  <c r="D135" i="5"/>
  <c r="G146" i="5"/>
  <c r="F140" i="5"/>
  <c r="E86" i="5"/>
  <c r="D85" i="5"/>
  <c r="D146" i="5"/>
  <c r="D145" i="5"/>
  <c r="D28" i="5"/>
  <c r="E29" i="5"/>
  <c r="F38" i="5"/>
  <c r="D161" i="5"/>
  <c r="D165" i="5"/>
  <c r="D119" i="5"/>
  <c r="D53" i="5"/>
  <c r="D158" i="5"/>
  <c r="D156" i="5"/>
  <c r="E44" i="5"/>
  <c r="E128" i="5"/>
  <c r="D81" i="5"/>
  <c r="E59" i="5"/>
  <c r="D96" i="5"/>
  <c r="D47" i="5"/>
  <c r="D16" i="5"/>
  <c r="D124" i="5"/>
  <c r="D182" i="5"/>
  <c r="F128" i="5"/>
  <c r="F182" i="5"/>
  <c r="D80" i="5"/>
  <c r="H146" i="5"/>
  <c r="G110" i="5"/>
  <c r="D115" i="5"/>
  <c r="D138" i="5"/>
  <c r="E17" i="5"/>
  <c r="D94" i="5"/>
  <c r="F74" i="5"/>
  <c r="D127" i="5"/>
  <c r="D55" i="5"/>
  <c r="D71" i="5"/>
  <c r="D88" i="5"/>
  <c r="D10" i="5"/>
  <c r="D49" i="5"/>
  <c r="E35" i="5"/>
  <c r="D25" i="5"/>
  <c r="D105" i="5"/>
  <c r="D106" i="5"/>
  <c r="F7" i="6"/>
  <c r="J7" i="6"/>
  <c r="D7" i="6"/>
  <c r="K7" i="6"/>
  <c r="L24" i="10"/>
  <c r="L25" i="10"/>
  <c r="L26" i="10"/>
  <c r="C13" i="10"/>
  <c r="G182" i="5"/>
  <c r="E173" i="5"/>
  <c r="E161" i="5"/>
  <c r="F146" i="5"/>
  <c r="E137" i="5"/>
  <c r="D136" i="5"/>
  <c r="D130" i="5"/>
  <c r="G134" i="5"/>
  <c r="F134" i="5"/>
  <c r="E107" i="5"/>
  <c r="F110" i="5"/>
  <c r="E104" i="5"/>
  <c r="E116" i="5"/>
  <c r="D21" i="5"/>
  <c r="F152" i="5"/>
  <c r="E53" i="5"/>
  <c r="D149" i="5"/>
  <c r="D118" i="5"/>
  <c r="D93" i="5"/>
  <c r="D153" i="5"/>
  <c r="E152" i="5"/>
  <c r="D147" i="5"/>
  <c r="G50" i="5"/>
  <c r="D140" i="5"/>
  <c r="D48" i="5"/>
  <c r="D112" i="5"/>
  <c r="D116" i="5"/>
  <c r="D33" i="5"/>
  <c r="D75" i="5"/>
  <c r="E77" i="5"/>
  <c r="D44" i="5"/>
  <c r="L28" i="10"/>
  <c r="H182" i="5"/>
  <c r="D181" i="5"/>
  <c r="F122" i="5"/>
  <c r="G158" i="5"/>
  <c r="H122" i="5"/>
  <c r="F80" i="5"/>
  <c r="D99" i="5"/>
  <c r="H110" i="5"/>
  <c r="E113" i="5"/>
  <c r="D114" i="5"/>
  <c r="E110" i="5"/>
  <c r="D54" i="5"/>
  <c r="I7" i="6"/>
  <c r="D148" i="5"/>
  <c r="D39" i="5"/>
  <c r="F50" i="5"/>
  <c r="D68" i="5"/>
  <c r="D56" i="5"/>
  <c r="D123" i="5"/>
  <c r="D40" i="5"/>
  <c r="D59" i="5"/>
  <c r="G7" i="6"/>
  <c r="D177" i="5"/>
  <c r="D162" i="5"/>
  <c r="G122" i="5"/>
  <c r="F158" i="5"/>
  <c r="F26" i="5"/>
  <c r="D22" i="5"/>
  <c r="D134" i="5"/>
  <c r="D17" i="5"/>
  <c r="E74" i="5"/>
  <c r="D70" i="5"/>
  <c r="D78" i="5"/>
  <c r="E38" i="5"/>
  <c r="E14" i="5"/>
  <c r="D12" i="5"/>
  <c r="F44" i="5"/>
  <c r="E41" i="5"/>
  <c r="D100" i="5"/>
  <c r="D103" i="5"/>
  <c r="D20" i="5"/>
  <c r="E26" i="5"/>
  <c r="D14" i="5"/>
  <c r="D65" i="5"/>
  <c r="E7" i="6"/>
  <c r="H50" i="12"/>
  <c r="H172" i="12"/>
  <c r="H112" i="12"/>
  <c r="H125" i="12"/>
  <c r="H174" i="12"/>
  <c r="H23" i="12"/>
  <c r="H77" i="12"/>
  <c r="H91" i="12"/>
  <c r="H120" i="12"/>
  <c r="H126" i="12"/>
  <c r="H135" i="12"/>
  <c r="H157" i="12"/>
  <c r="H32" i="12"/>
  <c r="H54" i="12"/>
  <c r="H58" i="12"/>
  <c r="H150" i="12"/>
  <c r="H158" i="12"/>
  <c r="H20" i="12"/>
  <c r="H27" i="12"/>
  <c r="H36" i="12"/>
  <c r="H40" i="12"/>
  <c r="H41" i="12"/>
  <c r="H44" i="12"/>
  <c r="H45" i="12"/>
  <c r="H62" i="12"/>
  <c r="H74" i="12"/>
  <c r="H110" i="12"/>
  <c r="H128" i="12"/>
  <c r="H141" i="12"/>
  <c r="H145" i="12"/>
  <c r="H148" i="12"/>
  <c r="H25" i="12"/>
  <c r="H38" i="12"/>
  <c r="H56" i="12"/>
  <c r="H63" i="12"/>
  <c r="H78" i="12"/>
  <c r="H85" i="12"/>
  <c r="H104" i="12"/>
  <c r="H111" i="12"/>
  <c r="H130" i="12"/>
  <c r="H139" i="12"/>
  <c r="H142" i="12"/>
  <c r="H143" i="12"/>
  <c r="H161" i="12"/>
  <c r="H167" i="12"/>
  <c r="H178" i="12"/>
  <c r="H179" i="12"/>
  <c r="H181" i="12"/>
  <c r="H152" i="12"/>
  <c r="H153" i="12"/>
  <c r="H154" i="12"/>
  <c r="H67" i="12"/>
  <c r="H68" i="12"/>
  <c r="H81" i="12"/>
  <c r="H87" i="12"/>
  <c r="H88" i="12"/>
  <c r="H89" i="12"/>
  <c r="H93" i="12"/>
  <c r="H98" i="12"/>
  <c r="H100" i="12"/>
  <c r="H106" i="12"/>
  <c r="H115" i="12"/>
  <c r="H122" i="12"/>
  <c r="H124" i="12"/>
  <c r="H129" i="12"/>
  <c r="H132" i="12"/>
  <c r="H133" i="12"/>
  <c r="H136" i="12"/>
  <c r="H137" i="12"/>
  <c r="H138" i="12"/>
  <c r="H176" i="12"/>
  <c r="H47" i="12"/>
  <c r="H59" i="12"/>
  <c r="H64" i="12"/>
  <c r="H86" i="12"/>
  <c r="H90" i="12"/>
  <c r="H99" i="12"/>
  <c r="H101" i="12"/>
  <c r="H103" i="12"/>
  <c r="H108" i="12"/>
  <c r="H113" i="12"/>
  <c r="H183" i="12"/>
  <c r="H10" i="12"/>
  <c r="H11" i="12"/>
  <c r="H14" i="12"/>
  <c r="H15" i="12"/>
  <c r="H18" i="12"/>
  <c r="H19" i="12"/>
  <c r="H22" i="12"/>
  <c r="H26" i="12"/>
  <c r="H30" i="12"/>
  <c r="H31" i="12"/>
  <c r="H34" i="12"/>
  <c r="H35" i="12"/>
  <c r="H39" i="12"/>
  <c r="H43" i="12"/>
  <c r="H48" i="12"/>
  <c r="H61" i="12"/>
  <c r="H140" i="12"/>
  <c r="H144" i="12"/>
  <c r="H147" i="12"/>
  <c r="H149" i="12"/>
  <c r="H155" i="12"/>
  <c r="H163" i="12"/>
  <c r="H165" i="12"/>
  <c r="H166" i="12"/>
  <c r="H168" i="12"/>
  <c r="C28" i="10"/>
  <c r="C27" i="10"/>
  <c r="C26" i="10"/>
  <c r="C182" i="12"/>
  <c r="H182" i="12" s="1"/>
  <c r="H24" i="12"/>
  <c r="H16" i="12"/>
  <c r="H29" i="12"/>
  <c r="H33" i="12"/>
  <c r="H52" i="12"/>
  <c r="H57" i="12"/>
  <c r="H66" i="12"/>
  <c r="H69" i="12"/>
  <c r="H70" i="12"/>
  <c r="H79" i="12"/>
  <c r="H82" i="12"/>
  <c r="H83" i="12"/>
  <c r="H92" i="12"/>
  <c r="H95" i="12"/>
  <c r="H96" i="12"/>
  <c r="H105" i="12"/>
  <c r="H117" i="12"/>
  <c r="H118" i="12"/>
  <c r="H121" i="12"/>
  <c r="H169" i="12"/>
  <c r="H170" i="12"/>
  <c r="H171" i="12"/>
  <c r="H173" i="12"/>
  <c r="H175" i="12"/>
  <c r="H12" i="12"/>
  <c r="H28" i="12"/>
  <c r="H162" i="12"/>
  <c r="H13" i="12"/>
  <c r="H17" i="12"/>
  <c r="H21" i="12"/>
  <c r="H37" i="12"/>
  <c r="H42" i="12"/>
  <c r="H46" i="12"/>
  <c r="H49" i="12"/>
  <c r="H84" i="12"/>
  <c r="H97" i="12"/>
  <c r="H102" i="12"/>
  <c r="H109" i="12"/>
  <c r="H114" i="12"/>
  <c r="H131" i="12"/>
  <c r="H134" i="12"/>
  <c r="H146" i="12"/>
  <c r="H151" i="12"/>
  <c r="H156" i="12"/>
  <c r="H159" i="12"/>
  <c r="H160" i="12"/>
  <c r="H164" i="12"/>
  <c r="H51" i="12"/>
  <c r="H53" i="12"/>
  <c r="H55" i="12"/>
  <c r="H60" i="12"/>
  <c r="H65" i="12"/>
  <c r="H71" i="12"/>
  <c r="H72" i="12"/>
  <c r="H75" i="12"/>
  <c r="H76" i="12"/>
  <c r="H80" i="12"/>
  <c r="H94" i="12"/>
  <c r="H107" i="12"/>
  <c r="H116" i="12"/>
  <c r="H119" i="12"/>
  <c r="H123" i="12"/>
  <c r="H127" i="12"/>
  <c r="H177" i="12"/>
  <c r="H180" i="12"/>
  <c r="H162" i="11" l="1"/>
  <c r="H118" i="11"/>
  <c r="C120" i="11"/>
  <c r="H120" i="11" s="1"/>
  <c r="H151" i="11"/>
  <c r="H141" i="11"/>
  <c r="H115" i="11"/>
  <c r="I80" i="11" s="1"/>
  <c r="F222" i="11"/>
  <c r="H222" i="11" s="1"/>
  <c r="F233" i="11"/>
  <c r="H233" i="11" s="1"/>
  <c r="F228" i="11"/>
  <c r="H228" i="11" s="1"/>
  <c r="F225" i="11"/>
  <c r="H225" i="11" s="1"/>
  <c r="F223" i="11"/>
  <c r="H223" i="11" s="1"/>
  <c r="F224" i="11"/>
  <c r="H224" i="11" s="1"/>
  <c r="F226" i="11"/>
  <c r="H226" i="11" s="1"/>
  <c r="F232" i="11"/>
  <c r="H232" i="11" s="1"/>
  <c r="F230" i="11"/>
  <c r="H230" i="11" s="1"/>
  <c r="F229" i="11"/>
  <c r="H229" i="11" s="1"/>
  <c r="F227" i="11"/>
  <c r="H227" i="11" s="1"/>
  <c r="F231" i="11"/>
  <c r="H231" i="11" s="1"/>
  <c r="H166" i="11"/>
  <c r="H168" i="11"/>
  <c r="H170" i="11"/>
  <c r="H172" i="11"/>
  <c r="C117" i="11"/>
  <c r="H117" i="11" s="1"/>
  <c r="I81" i="11" s="1"/>
  <c r="H133" i="11"/>
  <c r="C114" i="11"/>
  <c r="H114" i="11" s="1"/>
  <c r="H112" i="11"/>
  <c r="I77" i="11" s="1"/>
  <c r="F179" i="11"/>
  <c r="H179" i="11" s="1"/>
  <c r="H139" i="11"/>
  <c r="H123" i="11"/>
  <c r="I88" i="11" s="1"/>
  <c r="H164" i="11"/>
  <c r="F191" i="11"/>
  <c r="H191" i="11" s="1"/>
  <c r="C188" i="5" s="1"/>
  <c r="F187" i="11"/>
  <c r="H104" i="11"/>
  <c r="H121" i="11"/>
  <c r="H143" i="11"/>
  <c r="H145" i="11"/>
  <c r="H147" i="11"/>
  <c r="H153" i="11"/>
  <c r="H131" i="11"/>
  <c r="H135" i="11"/>
  <c r="H155" i="11"/>
  <c r="H157" i="11"/>
  <c r="H159" i="11"/>
  <c r="H163" i="11"/>
  <c r="H132" i="11"/>
  <c r="H136" i="11"/>
  <c r="H140" i="11"/>
  <c r="H165" i="11"/>
  <c r="H167" i="11"/>
  <c r="H169" i="11"/>
  <c r="H171" i="11"/>
  <c r="H161" i="11"/>
  <c r="C122" i="11"/>
  <c r="H142" i="11"/>
  <c r="H144" i="11"/>
  <c r="H146" i="11"/>
  <c r="H148" i="11"/>
  <c r="H152" i="11"/>
  <c r="F220" i="11"/>
  <c r="H220" i="11" s="1"/>
  <c r="F221" i="11"/>
  <c r="H221" i="11" s="1"/>
  <c r="F218" i="11"/>
  <c r="H218" i="11" s="1"/>
  <c r="F219" i="11"/>
  <c r="H219" i="11" s="1"/>
  <c r="H156" i="11"/>
  <c r="H158" i="11"/>
  <c r="H160" i="11"/>
  <c r="H103" i="11"/>
  <c r="I58" i="11"/>
  <c r="F200" i="11"/>
  <c r="H200" i="11" s="1"/>
  <c r="C197" i="5" s="1"/>
  <c r="F217" i="11"/>
  <c r="H217" i="11" s="1"/>
  <c r="F213" i="11"/>
  <c r="H213" i="11" s="1"/>
  <c r="F216" i="11"/>
  <c r="H216" i="11" s="1"/>
  <c r="F215" i="11"/>
  <c r="H215" i="11" s="1"/>
  <c r="F212" i="11"/>
  <c r="H212" i="11" s="1"/>
  <c r="F214" i="11"/>
  <c r="H214" i="11" s="1"/>
  <c r="F211" i="11"/>
  <c r="I62" i="11"/>
  <c r="H138" i="11"/>
  <c r="I18" i="11"/>
  <c r="I37" i="11"/>
  <c r="F12" i="10"/>
  <c r="I52" i="11"/>
  <c r="I27" i="11"/>
  <c r="I44" i="11"/>
  <c r="I14" i="11"/>
  <c r="I41" i="11"/>
  <c r="I53" i="11"/>
  <c r="I42" i="11"/>
  <c r="F177" i="11"/>
  <c r="H177" i="11" s="1"/>
  <c r="F182" i="11"/>
  <c r="H182" i="11" s="1"/>
  <c r="I49" i="11"/>
  <c r="B12" i="10"/>
  <c r="C9" i="10"/>
  <c r="I22" i="11"/>
  <c r="I99" i="11"/>
  <c r="H173" i="11"/>
  <c r="F188" i="11"/>
  <c r="H188" i="11" s="1"/>
  <c r="C185" i="5" s="1"/>
  <c r="F183" i="11"/>
  <c r="H183" i="11" s="1"/>
  <c r="F180" i="11"/>
  <c r="H180" i="11" s="1"/>
  <c r="F193" i="11"/>
  <c r="H193" i="11" s="1"/>
  <c r="C190" i="5" s="1"/>
  <c r="I51" i="11"/>
  <c r="I59" i="11"/>
  <c r="H154" i="11"/>
  <c r="F178" i="11"/>
  <c r="H178" i="11" s="1"/>
  <c r="F190" i="11"/>
  <c r="H190" i="11" s="1"/>
  <c r="C187" i="5" s="1"/>
  <c r="F186" i="11"/>
  <c r="H186" i="11" s="1"/>
  <c r="C183" i="5" s="1"/>
  <c r="F192" i="11"/>
  <c r="H192" i="11" s="1"/>
  <c r="C189" i="5" s="1"/>
  <c r="H122" i="11"/>
  <c r="I12" i="11"/>
  <c r="I47" i="11"/>
  <c r="I90" i="11"/>
  <c r="I96" i="11"/>
  <c r="F199" i="11"/>
  <c r="H199" i="11" s="1"/>
  <c r="C196" i="5" s="1"/>
  <c r="F181" i="11"/>
  <c r="H181" i="11" s="1"/>
  <c r="F176" i="11"/>
  <c r="H176" i="11" s="1"/>
  <c r="F174" i="11"/>
  <c r="H174" i="11" s="1"/>
  <c r="F189" i="11"/>
  <c r="H189" i="11" s="1"/>
  <c r="C186" i="5" s="1"/>
  <c r="F175" i="11"/>
  <c r="H175" i="11" s="1"/>
  <c r="F194" i="11"/>
  <c r="H194" i="11" s="1"/>
  <c r="C191" i="5" s="1"/>
  <c r="I36" i="11"/>
  <c r="I46" i="11"/>
  <c r="I50" i="11"/>
  <c r="I30" i="11"/>
  <c r="I38" i="11"/>
  <c r="I83" i="11"/>
  <c r="I28" i="11"/>
  <c r="F196" i="11"/>
  <c r="H196" i="11" s="1"/>
  <c r="C193" i="5" s="1"/>
  <c r="F198" i="11"/>
  <c r="H198" i="11" s="1"/>
  <c r="C195" i="5" s="1"/>
  <c r="I34" i="11"/>
  <c r="I11" i="11"/>
  <c r="I15" i="11"/>
  <c r="I25" i="11"/>
  <c r="H99" i="11"/>
  <c r="H125" i="11"/>
  <c r="I84" i="11"/>
  <c r="C149" i="11"/>
  <c r="H149" i="11" s="1"/>
  <c r="I31" i="11"/>
  <c r="I39" i="11"/>
  <c r="C150" i="11"/>
  <c r="H150" i="11" s="1"/>
  <c r="I13" i="11"/>
  <c r="I19" i="11"/>
  <c r="I23" i="11"/>
  <c r="I29" i="11"/>
  <c r="I32" i="11"/>
  <c r="I55" i="11"/>
  <c r="I63" i="11"/>
  <c r="I92" i="11"/>
  <c r="I94" i="11"/>
  <c r="I54" i="11"/>
  <c r="I17" i="11"/>
  <c r="I26" i="11"/>
  <c r="I48" i="11"/>
  <c r="I91" i="11"/>
  <c r="I21" i="11"/>
  <c r="I24" i="11"/>
  <c r="I33" i="11"/>
  <c r="I57" i="11"/>
  <c r="I60" i="11"/>
  <c r="I89" i="11"/>
  <c r="I95" i="11"/>
  <c r="I98" i="11"/>
  <c r="F197" i="11"/>
  <c r="H197" i="11" s="1"/>
  <c r="C194" i="5" s="1"/>
  <c r="F202" i="11"/>
  <c r="H202" i="11" s="1"/>
  <c r="C199" i="5" s="1"/>
  <c r="I16" i="11"/>
  <c r="I45" i="11"/>
  <c r="I43" i="11"/>
  <c r="I20" i="11"/>
  <c r="E129" i="11"/>
  <c r="E12" i="10"/>
  <c r="I56" i="11"/>
  <c r="I35" i="11"/>
  <c r="I97" i="11"/>
  <c r="I61" i="11"/>
  <c r="I40" i="11"/>
  <c r="F210" i="11"/>
  <c r="H210" i="11" s="1"/>
  <c r="F209" i="11"/>
  <c r="F206" i="11"/>
  <c r="F205" i="11"/>
  <c r="F204" i="11"/>
  <c r="H204" i="11" s="1"/>
  <c r="F207" i="11"/>
  <c r="F208" i="11"/>
  <c r="F203" i="11"/>
  <c r="H203" i="11" s="1"/>
  <c r="F195" i="11"/>
  <c r="F201" i="11"/>
  <c r="I93" i="11"/>
  <c r="D12" i="10"/>
  <c r="F184" i="11" l="1"/>
  <c r="F191" i="12" s="1"/>
  <c r="H187" i="11"/>
  <c r="C184" i="11" s="1"/>
  <c r="I85" i="11"/>
  <c r="I79" i="11"/>
  <c r="G184" i="11"/>
  <c r="I78" i="11"/>
  <c r="D196" i="5"/>
  <c r="I76" i="11"/>
  <c r="I82" i="11"/>
  <c r="D188" i="5"/>
  <c r="I87" i="11"/>
  <c r="E184" i="11"/>
  <c r="E197" i="12" s="1"/>
  <c r="D189" i="5"/>
  <c r="C184" i="5"/>
  <c r="D184" i="5" s="1"/>
  <c r="G13" i="10"/>
  <c r="B14" i="10" s="1"/>
  <c r="D184" i="11"/>
  <c r="D195" i="12" s="1"/>
  <c r="D183" i="5"/>
  <c r="D194" i="5"/>
  <c r="D187" i="5"/>
  <c r="D186" i="5"/>
  <c r="D197" i="5"/>
  <c r="I86" i="11"/>
  <c r="F202" i="12"/>
  <c r="C201" i="12"/>
  <c r="F201" i="12"/>
  <c r="F186" i="12"/>
  <c r="D195" i="5"/>
  <c r="F195" i="12"/>
  <c r="D14" i="10"/>
  <c r="E188" i="12"/>
  <c r="E196" i="12"/>
  <c r="E192" i="12"/>
  <c r="E10" i="4"/>
  <c r="E186" i="12"/>
  <c r="E191" i="5"/>
  <c r="F187" i="12"/>
  <c r="F185" i="12"/>
  <c r="F188" i="12"/>
  <c r="F196" i="12"/>
  <c r="E12" i="4"/>
  <c r="F197" i="12"/>
  <c r="F189" i="12"/>
  <c r="F194" i="12"/>
  <c r="F184" i="12"/>
  <c r="F192" i="12"/>
  <c r="F200" i="12"/>
  <c r="F190" i="12"/>
  <c r="E130" i="11"/>
  <c r="H130" i="11" s="1"/>
  <c r="H129" i="11"/>
  <c r="D194" i="12"/>
  <c r="C186" i="12"/>
  <c r="C189" i="12"/>
  <c r="C191" i="12"/>
  <c r="E5" i="4"/>
  <c r="C184" i="12"/>
  <c r="C196" i="12"/>
  <c r="C197" i="12"/>
  <c r="C185" i="12"/>
  <c r="C200" i="12"/>
  <c r="C187" i="12"/>
  <c r="C188" i="12"/>
  <c r="C190" i="12"/>
  <c r="C192" i="12"/>
  <c r="C198" i="12"/>
  <c r="C195" i="12"/>
  <c r="C194" i="12"/>
  <c r="C200" i="5"/>
  <c r="H195" i="11"/>
  <c r="C192" i="5" s="1"/>
  <c r="G194" i="5" s="1"/>
  <c r="F14" i="10"/>
  <c r="F198" i="12"/>
  <c r="G201" i="12"/>
  <c r="H201" i="11"/>
  <c r="C198" i="5" s="1"/>
  <c r="D190" i="5"/>
  <c r="D191" i="5"/>
  <c r="G187" i="12"/>
  <c r="G200" i="12"/>
  <c r="G185" i="12"/>
  <c r="E13" i="4"/>
  <c r="G192" i="12"/>
  <c r="G198" i="12"/>
  <c r="G184" i="12"/>
  <c r="G194" i="12"/>
  <c r="G186" i="12"/>
  <c r="G189" i="12"/>
  <c r="G190" i="12"/>
  <c r="G191" i="12"/>
  <c r="G196" i="12"/>
  <c r="G197" i="12"/>
  <c r="G188" i="12"/>
  <c r="G195" i="12"/>
  <c r="E202" i="12"/>
  <c r="G202" i="12"/>
  <c r="C202" i="12"/>
  <c r="C201" i="5"/>
  <c r="H205" i="11"/>
  <c r="G203" i="12" s="1"/>
  <c r="H206" i="11"/>
  <c r="G204" i="12" s="1"/>
  <c r="D185" i="5" l="1"/>
  <c r="D192" i="12"/>
  <c r="D191" i="12"/>
  <c r="E194" i="12"/>
  <c r="F188" i="5"/>
  <c r="E198" i="12"/>
  <c r="E195" i="12"/>
  <c r="H195" i="12" s="1"/>
  <c r="E190" i="12"/>
  <c r="E187" i="12"/>
  <c r="E201" i="12"/>
  <c r="E200" i="12"/>
  <c r="E184" i="12"/>
  <c r="E189" i="12"/>
  <c r="E191" i="12"/>
  <c r="H191" i="12" s="1"/>
  <c r="E185" i="12"/>
  <c r="D198" i="12"/>
  <c r="H198" i="12" s="1"/>
  <c r="C14" i="10"/>
  <c r="D197" i="12"/>
  <c r="E188" i="5"/>
  <c r="D185" i="12"/>
  <c r="E185" i="5"/>
  <c r="E6" i="4"/>
  <c r="D188" i="12"/>
  <c r="H188" i="12" s="1"/>
  <c r="D189" i="12"/>
  <c r="D186" i="12"/>
  <c r="H186" i="12" s="1"/>
  <c r="D187" i="12"/>
  <c r="D196" i="12"/>
  <c r="H196" i="12" s="1"/>
  <c r="D190" i="12"/>
  <c r="D201" i="12"/>
  <c r="H201" i="12" s="1"/>
  <c r="D202" i="12"/>
  <c r="H202" i="12" s="1"/>
  <c r="D184" i="12"/>
  <c r="H184" i="12" s="1"/>
  <c r="D200" i="12"/>
  <c r="E14" i="10"/>
  <c r="G199" i="12"/>
  <c r="C199" i="12"/>
  <c r="D201" i="5"/>
  <c r="E200" i="5"/>
  <c r="G193" i="12"/>
  <c r="F194" i="5"/>
  <c r="E199" i="12"/>
  <c r="H197" i="12"/>
  <c r="D199" i="12"/>
  <c r="D198" i="5"/>
  <c r="D199" i="5"/>
  <c r="H192" i="12"/>
  <c r="D193" i="12"/>
  <c r="H194" i="12"/>
  <c r="F199" i="12"/>
  <c r="C193" i="12"/>
  <c r="E193" i="12"/>
  <c r="F193" i="12"/>
  <c r="E137" i="11"/>
  <c r="H137" i="11" s="1"/>
  <c r="D192" i="5"/>
  <c r="D193" i="5"/>
  <c r="E194" i="5"/>
  <c r="H194" i="5"/>
  <c r="E197" i="5"/>
  <c r="F200" i="5"/>
  <c r="H187" i="12"/>
  <c r="D200" i="5"/>
  <c r="G14" i="10"/>
  <c r="D203" i="12"/>
  <c r="C202" i="5"/>
  <c r="D202" i="5" s="1"/>
  <c r="F203" i="12"/>
  <c r="C203" i="12"/>
  <c r="E203" i="12"/>
  <c r="C203" i="5"/>
  <c r="C204" i="12"/>
  <c r="D204" i="12"/>
  <c r="F204" i="12"/>
  <c r="E204" i="12"/>
  <c r="H207" i="11"/>
  <c r="H189" i="12" l="1"/>
  <c r="H190" i="12"/>
  <c r="H185" i="12"/>
  <c r="H200" i="12"/>
  <c r="H199" i="12"/>
  <c r="H193" i="12"/>
  <c r="D203" i="5"/>
  <c r="H203" i="12"/>
  <c r="E203" i="5"/>
  <c r="C205" i="12"/>
  <c r="C204" i="5"/>
  <c r="D205" i="12"/>
  <c r="F205" i="12"/>
  <c r="H204" i="12"/>
  <c r="G205" i="12"/>
  <c r="E205" i="12"/>
  <c r="H208" i="11"/>
  <c r="C206" i="12" l="1"/>
  <c r="C205" i="5"/>
  <c r="D205" i="5" s="1"/>
  <c r="D206" i="12"/>
  <c r="F206" i="12"/>
  <c r="E206" i="12"/>
  <c r="G206" i="12"/>
  <c r="H209" i="11"/>
  <c r="D204" i="5"/>
  <c r="H205" i="12"/>
  <c r="C206" i="5" l="1"/>
  <c r="C207" i="12"/>
  <c r="D207" i="12"/>
  <c r="F207" i="12"/>
  <c r="E207" i="12"/>
  <c r="G207" i="12"/>
  <c r="H206" i="12"/>
  <c r="C207" i="5" l="1"/>
  <c r="C208" i="12"/>
  <c r="D208" i="12"/>
  <c r="F208" i="12"/>
  <c r="E208" i="12"/>
  <c r="H207" i="12"/>
  <c r="D206" i="5"/>
  <c r="G206" i="5"/>
  <c r="E206" i="5"/>
  <c r="F206" i="5"/>
  <c r="H206" i="5"/>
  <c r="G208" i="12"/>
  <c r="H211" i="11"/>
  <c r="G209" i="12" s="1"/>
  <c r="E209" i="12" l="1"/>
  <c r="G210" i="12"/>
  <c r="H208" i="12"/>
  <c r="C208" i="5"/>
  <c r="D208" i="5" s="1"/>
  <c r="C209" i="12"/>
  <c r="D209" i="12"/>
  <c r="F209" i="12"/>
  <c r="D207" i="5"/>
  <c r="C240" i="11" l="1"/>
  <c r="C241" i="11"/>
  <c r="C209" i="5"/>
  <c r="E209" i="5" s="1"/>
  <c r="C210" i="12"/>
  <c r="D210" i="12"/>
  <c r="F210" i="12"/>
  <c r="H209" i="12"/>
  <c r="E210" i="12"/>
  <c r="C244" i="11" l="1"/>
  <c r="C243" i="11"/>
  <c r="C242" i="11"/>
  <c r="C210" i="5"/>
  <c r="C211" i="12"/>
  <c r="D211" i="12"/>
  <c r="F211" i="12"/>
  <c r="D209" i="5"/>
  <c r="E211" i="12"/>
  <c r="G211" i="12"/>
  <c r="H210" i="12"/>
  <c r="C245" i="11" l="1"/>
  <c r="C248" i="11" s="1"/>
  <c r="C211" i="5"/>
  <c r="C212" i="12"/>
  <c r="D212" i="12"/>
  <c r="F212" i="12"/>
  <c r="E212" i="12"/>
  <c r="H211" i="12"/>
  <c r="G212" i="12"/>
  <c r="D210" i="5"/>
  <c r="C251" i="11" l="1"/>
  <c r="C247" i="11"/>
  <c r="C246" i="11"/>
  <c r="C212" i="5"/>
  <c r="F212" i="5" s="1"/>
  <c r="C213" i="12"/>
  <c r="D213" i="12"/>
  <c r="F213" i="12"/>
  <c r="E213" i="12"/>
  <c r="E214" i="12"/>
  <c r="H212" i="12"/>
  <c r="G213" i="12"/>
  <c r="D211" i="5"/>
  <c r="C249" i="11" l="1"/>
  <c r="C250" i="11"/>
  <c r="C254" i="11"/>
  <c r="C213" i="5"/>
  <c r="C214" i="12"/>
  <c r="D214" i="12"/>
  <c r="F214" i="12"/>
  <c r="G215" i="12"/>
  <c r="H213" i="12"/>
  <c r="G214" i="12"/>
  <c r="D212" i="5"/>
  <c r="E212" i="5"/>
  <c r="C257" i="11" l="1"/>
  <c r="C253" i="11"/>
  <c r="C252" i="11"/>
  <c r="E215" i="12"/>
  <c r="H214" i="12"/>
  <c r="D213" i="5"/>
  <c r="C214" i="5"/>
  <c r="D214" i="5" s="1"/>
  <c r="C215" i="12"/>
  <c r="D215" i="12"/>
  <c r="F215" i="12"/>
  <c r="C256" i="11" l="1"/>
  <c r="C255" i="11"/>
  <c r="H215" i="12"/>
  <c r="C215" i="5"/>
  <c r="D215" i="5" s="1"/>
  <c r="C216" i="12"/>
  <c r="D216" i="12"/>
  <c r="F216" i="12"/>
  <c r="G216" i="12"/>
  <c r="F239" i="11"/>
  <c r="F240" i="11" s="1"/>
  <c r="F241" i="11" s="1"/>
  <c r="F242" i="11" s="1"/>
  <c r="F243" i="11" s="1"/>
  <c r="F244" i="11" s="1"/>
  <c r="F245" i="11" s="1"/>
  <c r="F246" i="11" s="1"/>
  <c r="E216" i="12"/>
  <c r="F247" i="11" l="1"/>
  <c r="E215" i="5"/>
  <c r="G239" i="11"/>
  <c r="G240" i="11" s="1"/>
  <c r="G241" i="11" s="1"/>
  <c r="G242" i="11" s="1"/>
  <c r="G243" i="11" s="1"/>
  <c r="G244" i="11" s="1"/>
  <c r="G245" i="11" s="1"/>
  <c r="G246" i="11" s="1"/>
  <c r="C216" i="5"/>
  <c r="C217" i="12"/>
  <c r="D217" i="12"/>
  <c r="F217" i="12"/>
  <c r="H216" i="12"/>
  <c r="E217" i="12"/>
  <c r="G217" i="12"/>
  <c r="G247" i="11" l="1"/>
  <c r="F248" i="11"/>
  <c r="H217" i="12"/>
  <c r="D216" i="5"/>
  <c r="C217" i="5"/>
  <c r="D217" i="5" s="1"/>
  <c r="C218" i="12"/>
  <c r="D218" i="12"/>
  <c r="F218" i="12"/>
  <c r="E218" i="12"/>
  <c r="E219" i="12"/>
  <c r="G218" i="12"/>
  <c r="F249" i="11" l="1"/>
  <c r="G248" i="11"/>
  <c r="C219" i="5"/>
  <c r="G220" i="12"/>
  <c r="F220" i="12"/>
  <c r="E220" i="12"/>
  <c r="C220" i="12"/>
  <c r="D220" i="12"/>
  <c r="H218" i="12"/>
  <c r="G219" i="12"/>
  <c r="C218" i="5"/>
  <c r="E218" i="5" s="1"/>
  <c r="C219" i="12"/>
  <c r="D219" i="12"/>
  <c r="F219" i="12"/>
  <c r="G249" i="11" l="1"/>
  <c r="F250" i="11"/>
  <c r="E221" i="12"/>
  <c r="C220" i="5"/>
  <c r="D220" i="5" s="1"/>
  <c r="G221" i="12"/>
  <c r="F221" i="12"/>
  <c r="C221" i="12"/>
  <c r="D221" i="12"/>
  <c r="D219" i="5"/>
  <c r="H220" i="12"/>
  <c r="F218" i="5"/>
  <c r="H219" i="12"/>
  <c r="D218" i="5"/>
  <c r="G218" i="5"/>
  <c r="H218" i="5"/>
  <c r="F251" i="11" l="1"/>
  <c r="G250" i="11"/>
  <c r="H221" i="12"/>
  <c r="E222" i="12"/>
  <c r="C222" i="12"/>
  <c r="C221" i="5"/>
  <c r="G222" i="12"/>
  <c r="F222" i="12"/>
  <c r="D222" i="12"/>
  <c r="G251" i="11" l="1"/>
  <c r="F252" i="11"/>
  <c r="D221" i="5"/>
  <c r="E221" i="5"/>
  <c r="H222" i="12"/>
  <c r="F223" i="12"/>
  <c r="E223" i="12"/>
  <c r="C222" i="5"/>
  <c r="G223" i="12"/>
  <c r="C223" i="12"/>
  <c r="D223" i="12"/>
  <c r="G252" i="11" l="1"/>
  <c r="F253" i="11"/>
  <c r="C224" i="12"/>
  <c r="F224" i="12"/>
  <c r="C223" i="5"/>
  <c r="G224" i="12"/>
  <c r="E224" i="12"/>
  <c r="D224" i="12"/>
  <c r="D222" i="5"/>
  <c r="H223" i="12"/>
  <c r="G253" i="11" l="1"/>
  <c r="F254" i="11"/>
  <c r="H224" i="12"/>
  <c r="D223" i="5"/>
  <c r="F225" i="12"/>
  <c r="E225" i="12"/>
  <c r="C224" i="5"/>
  <c r="F224" i="5" s="1"/>
  <c r="C225" i="12"/>
  <c r="G225" i="12"/>
  <c r="D225" i="12"/>
  <c r="F255" i="11" l="1"/>
  <c r="G254" i="11"/>
  <c r="E224" i="5"/>
  <c r="H225" i="12"/>
  <c r="C225" i="5"/>
  <c r="D225" i="5" s="1"/>
  <c r="G226" i="12"/>
  <c r="E226" i="12"/>
  <c r="C226" i="12"/>
  <c r="F226" i="12"/>
  <c r="D226" i="12"/>
  <c r="D224" i="5"/>
  <c r="F256" i="11" l="1"/>
  <c r="G255" i="11"/>
  <c r="C226" i="5"/>
  <c r="C227" i="12"/>
  <c r="E227" i="12"/>
  <c r="G227" i="12"/>
  <c r="F227" i="12"/>
  <c r="D227" i="12"/>
  <c r="H226" i="12"/>
  <c r="G256" i="11" l="1"/>
  <c r="F257" i="11"/>
  <c r="G228" i="12"/>
  <c r="F228" i="12"/>
  <c r="E228" i="12"/>
  <c r="C228" i="12"/>
  <c r="C227" i="5"/>
  <c r="D228" i="12"/>
  <c r="H227" i="12"/>
  <c r="D226" i="5"/>
  <c r="G257" i="11" l="1"/>
  <c r="F229" i="12"/>
  <c r="E229" i="12"/>
  <c r="G229" i="12"/>
  <c r="C229" i="12"/>
  <c r="C228" i="5"/>
  <c r="D229" i="12"/>
  <c r="D227" i="5"/>
  <c r="E227" i="5"/>
  <c r="H228" i="12"/>
  <c r="D239" i="11" l="1"/>
  <c r="G231" i="12"/>
  <c r="H229" i="12"/>
  <c r="E230" i="12"/>
  <c r="C230" i="12"/>
  <c r="F230" i="12"/>
  <c r="G230" i="12"/>
  <c r="C229" i="5"/>
  <c r="D230" i="12"/>
  <c r="D228" i="5"/>
  <c r="C232" i="5" l="1"/>
  <c r="D240" i="11"/>
  <c r="D231" i="12"/>
  <c r="C231" i="12"/>
  <c r="E231" i="12"/>
  <c r="C230" i="5"/>
  <c r="E230" i="5" s="1"/>
  <c r="F231" i="12"/>
  <c r="C231" i="5"/>
  <c r="D229" i="5"/>
  <c r="H230" i="12"/>
  <c r="E232" i="12" l="1"/>
  <c r="D231" i="5"/>
  <c r="D241" i="11"/>
  <c r="C233" i="5"/>
  <c r="D233" i="5" s="1"/>
  <c r="D232" i="5"/>
  <c r="C232" i="12"/>
  <c r="F232" i="12"/>
  <c r="G232" i="12"/>
  <c r="D232" i="12"/>
  <c r="F230" i="5"/>
  <c r="D230" i="5"/>
  <c r="G230" i="5"/>
  <c r="H231" i="12"/>
  <c r="H230" i="5"/>
  <c r="D242" i="11" l="1"/>
  <c r="C234" i="5"/>
  <c r="E233" i="5"/>
  <c r="C233" i="12"/>
  <c r="F233" i="12"/>
  <c r="G233" i="12"/>
  <c r="D233" i="12"/>
  <c r="E234" i="12"/>
  <c r="H232" i="12"/>
  <c r="E233" i="12"/>
  <c r="E239" i="11" l="1"/>
  <c r="C235" i="5"/>
  <c r="D235" i="5" s="1"/>
  <c r="D234" i="5"/>
  <c r="D243" i="11"/>
  <c r="C234" i="12"/>
  <c r="F234" i="12"/>
  <c r="G234" i="12"/>
  <c r="D234" i="12"/>
  <c r="H233" i="12"/>
  <c r="D244" i="11" l="1"/>
  <c r="E240" i="11"/>
  <c r="H239" i="11"/>
  <c r="C236" i="5" s="1"/>
  <c r="D236" i="5" s="1"/>
  <c r="H234" i="12"/>
  <c r="C235" i="12"/>
  <c r="F235" i="12"/>
  <c r="G235" i="12"/>
  <c r="D235" i="12"/>
  <c r="E235" i="12"/>
  <c r="E236" i="12"/>
  <c r="D245" i="11" l="1"/>
  <c r="D246" i="11" s="1"/>
  <c r="E241" i="11"/>
  <c r="H240" i="11"/>
  <c r="C237" i="5" s="1"/>
  <c r="F236" i="5"/>
  <c r="E236" i="5"/>
  <c r="H235" i="12"/>
  <c r="C236" i="12"/>
  <c r="F236" i="12"/>
  <c r="G236" i="12"/>
  <c r="D236" i="12"/>
  <c r="E237" i="12"/>
  <c r="D247" i="11" l="1"/>
  <c r="H236" i="12"/>
  <c r="D237" i="5"/>
  <c r="E242" i="11"/>
  <c r="H241" i="11"/>
  <c r="C238" i="5" s="1"/>
  <c r="D238" i="5" s="1"/>
  <c r="C237" i="12"/>
  <c r="F237" i="12"/>
  <c r="G237" i="12"/>
  <c r="D237" i="12"/>
  <c r="D248" i="11" l="1"/>
  <c r="H237" i="12"/>
  <c r="E243" i="11"/>
  <c r="H242" i="11"/>
  <c r="C239" i="5" s="1"/>
  <c r="D239" i="5" s="1"/>
  <c r="C238" i="12"/>
  <c r="F238" i="12"/>
  <c r="G238" i="12"/>
  <c r="D238" i="12"/>
  <c r="E238" i="12"/>
  <c r="D249" i="11" l="1"/>
  <c r="E244" i="11"/>
  <c r="H243" i="11"/>
  <c r="C240" i="5" s="1"/>
  <c r="E239" i="5"/>
  <c r="C239" i="12"/>
  <c r="F239" i="12"/>
  <c r="G239" i="12"/>
  <c r="D239" i="12"/>
  <c r="E239" i="12"/>
  <c r="H238" i="12"/>
  <c r="D250" i="11" l="1"/>
  <c r="D240" i="5"/>
  <c r="E245" i="11"/>
  <c r="E246" i="11" s="1"/>
  <c r="H244" i="11"/>
  <c r="C241" i="5" s="1"/>
  <c r="D241" i="5" s="1"/>
  <c r="C240" i="12"/>
  <c r="F240" i="12"/>
  <c r="G240" i="12"/>
  <c r="D240" i="12"/>
  <c r="H239" i="12"/>
  <c r="E240" i="12"/>
  <c r="E247" i="11" l="1"/>
  <c r="D251" i="11"/>
  <c r="H245" i="11"/>
  <c r="C242" i="5" s="1"/>
  <c r="D242" i="5" s="1"/>
  <c r="H240" i="12"/>
  <c r="C241" i="12"/>
  <c r="F241" i="12"/>
  <c r="G241" i="12"/>
  <c r="D241" i="12"/>
  <c r="E241" i="12"/>
  <c r="F242" i="5" l="1"/>
  <c r="E242" i="5"/>
  <c r="G242" i="5"/>
  <c r="H242" i="5"/>
  <c r="E248" i="11"/>
  <c r="H246" i="11"/>
  <c r="D252" i="11"/>
  <c r="H241" i="12"/>
  <c r="C242" i="12"/>
  <c r="F242" i="12"/>
  <c r="G242" i="12"/>
  <c r="D242" i="12"/>
  <c r="E243" i="12"/>
  <c r="E242" i="12"/>
  <c r="E249" i="11" l="1"/>
  <c r="C243" i="5"/>
  <c r="C244" i="12"/>
  <c r="F244" i="12"/>
  <c r="G244" i="12"/>
  <c r="D244" i="12"/>
  <c r="E244" i="12"/>
  <c r="H247" i="11"/>
  <c r="D253" i="11"/>
  <c r="H242" i="12"/>
  <c r="C243" i="12"/>
  <c r="F243" i="12"/>
  <c r="G243" i="12"/>
  <c r="D243" i="12"/>
  <c r="H244" i="12" l="1"/>
  <c r="D243" i="5"/>
  <c r="C244" i="5"/>
  <c r="C245" i="12"/>
  <c r="F245" i="12"/>
  <c r="G245" i="12"/>
  <c r="D245" i="12"/>
  <c r="E245" i="12"/>
  <c r="E250" i="11"/>
  <c r="H248" i="11"/>
  <c r="D254" i="11"/>
  <c r="H243" i="12"/>
  <c r="H245" i="12" l="1"/>
  <c r="C245" i="5"/>
  <c r="D245" i="5" s="1"/>
  <c r="C246" i="12"/>
  <c r="F246" i="12"/>
  <c r="G246" i="12"/>
  <c r="D246" i="12"/>
  <c r="E246" i="12"/>
  <c r="E251" i="11"/>
  <c r="D244" i="5"/>
  <c r="D255" i="11"/>
  <c r="H249" i="11"/>
  <c r="E245" i="5" l="1"/>
  <c r="H246" i="12"/>
  <c r="E252" i="11"/>
  <c r="C246" i="5"/>
  <c r="C247" i="12"/>
  <c r="F247" i="12"/>
  <c r="G247" i="12"/>
  <c r="D247" i="12"/>
  <c r="E247" i="12"/>
  <c r="D256" i="11"/>
  <c r="H250" i="11"/>
  <c r="H247" i="12" l="1"/>
  <c r="C247" i="5"/>
  <c r="D247" i="5" s="1"/>
  <c r="C248" i="12"/>
  <c r="F248" i="12"/>
  <c r="G248" i="12"/>
  <c r="D248" i="12"/>
  <c r="E248" i="12"/>
  <c r="D246" i="5"/>
  <c r="E253" i="11"/>
  <c r="D257" i="11"/>
  <c r="H251" i="11"/>
  <c r="E254" i="11" l="1"/>
  <c r="H248" i="12"/>
  <c r="C248" i="5"/>
  <c r="C249" i="12"/>
  <c r="F249" i="12"/>
  <c r="G249" i="12"/>
  <c r="D249" i="12"/>
  <c r="E249" i="12"/>
  <c r="H252" i="11"/>
  <c r="D248" i="5" l="1"/>
  <c r="F248" i="5"/>
  <c r="E248" i="5"/>
  <c r="C249" i="5"/>
  <c r="C250" i="12"/>
  <c r="F250" i="12"/>
  <c r="G250" i="12"/>
  <c r="D250" i="12"/>
  <c r="E250" i="12"/>
  <c r="H249" i="12"/>
  <c r="E255" i="11"/>
  <c r="H253" i="11"/>
  <c r="D249" i="5" l="1"/>
  <c r="H250" i="12"/>
  <c r="E256" i="11"/>
  <c r="C250" i="5"/>
  <c r="D250" i="5" s="1"/>
  <c r="C251" i="12"/>
  <c r="F251" i="12"/>
  <c r="G251" i="12"/>
  <c r="D251" i="12"/>
  <c r="E251" i="12"/>
  <c r="H254" i="11"/>
  <c r="C251" i="5" l="1"/>
  <c r="E251" i="5" s="1"/>
  <c r="C252" i="12"/>
  <c r="F252" i="12"/>
  <c r="G252" i="12"/>
  <c r="D252" i="12"/>
  <c r="E252" i="12"/>
  <c r="E257" i="11"/>
  <c r="H251" i="12"/>
  <c r="H255" i="11"/>
  <c r="C252" i="5" l="1"/>
  <c r="C253" i="12"/>
  <c r="F253" i="12"/>
  <c r="G253" i="12"/>
  <c r="D253" i="12"/>
  <c r="E253" i="12"/>
  <c r="H252" i="12"/>
  <c r="D251" i="5"/>
  <c r="H257" i="11"/>
  <c r="H256" i="11"/>
  <c r="H253" i="12" l="1"/>
  <c r="C253" i="5"/>
  <c r="C254" i="12"/>
  <c r="F254" i="12"/>
  <c r="G254" i="12"/>
  <c r="D254" i="12"/>
  <c r="E254" i="12"/>
  <c r="C254" i="5"/>
  <c r="C255" i="12"/>
  <c r="F255" i="12"/>
  <c r="G255" i="12"/>
  <c r="D255" i="12"/>
  <c r="D252" i="5"/>
  <c r="E255" i="12"/>
  <c r="D254" i="5" l="1"/>
  <c r="G254" i="5"/>
  <c r="F254" i="5"/>
  <c r="H254" i="12"/>
  <c r="E254" i="5"/>
  <c r="D253" i="5"/>
  <c r="H254" i="5"/>
  <c r="H255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Lasse</author>
    <author>LENOVO USER</author>
  </authors>
  <commentList>
    <comment ref="H3" authorId="0" shapeId="0" xr:uid="{00000000-0006-0000-0000-000001000000}">
      <text>
        <r>
          <rPr>
            <sz val="8"/>
            <color indexed="81"/>
            <rFont val="Tahoma"/>
            <family val="2"/>
          </rPr>
          <t>Beregning:
- Basis 100: 1. Januar 2008.
Eksempel:
100 + Procentvis ændring i lønindeks x 60 pct. + Procentvis ændring i dieselindeks x 17 pct. + Procentvis ændring i forbrugerindeks x 10 pct.  etc.
Det vil sige, at den procentvise ændring i hvert indeks (fra periode til periode) ganges med vægtningen (i pct.)</t>
        </r>
      </text>
    </comment>
    <comment ref="C100" authorId="1" shapeId="0" xr:uid="{00000000-0006-0000-0000-000002000000}">
      <text>
        <r>
          <rPr>
            <b/>
            <sz val="8"/>
            <color indexed="81"/>
            <rFont val="Tahoma"/>
            <family val="2"/>
          </rPr>
          <t>LENOVO USER:</t>
        </r>
        <r>
          <rPr>
            <sz val="8"/>
            <color indexed="81"/>
            <rFont val="Tahoma"/>
            <family val="2"/>
          </rPr>
          <t xml:space="preserve">
ghffgnbjk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Lasse</author>
    <author>Leif Carstens</author>
  </authors>
  <commentList>
    <comment ref="A10" authorId="0" shapeId="0" xr:uid="{00000000-0006-0000-0300-000001000000}">
      <text>
        <r>
          <rPr>
            <sz val="8"/>
            <color indexed="81"/>
            <rFont val="Tahoma"/>
            <family val="2"/>
          </rPr>
          <t>Dette indeks skal dække omkostninger til reparation og vedligeholdelse</t>
        </r>
      </text>
    </comment>
    <comment ref="A12" authorId="1" shapeId="0" xr:uid="{00000000-0006-0000-0300-000002000000}">
      <text>
        <r>
          <rPr>
            <b/>
            <sz val="9"/>
            <color indexed="81"/>
            <rFont val="Tahoma"/>
            <family val="2"/>
          </rPr>
          <t>Leif Carstens:</t>
        </r>
        <r>
          <rPr>
            <sz val="9"/>
            <color indexed="81"/>
            <rFont val="Tahoma"/>
            <family val="2"/>
          </rPr>
          <t xml:space="preserve">
Indekser opdateres ikke længere. Danmarks Statistik udarbejder specialkørsel indtil aug 2014. Se fanen "Note pris 10"</t>
        </r>
      </text>
    </comment>
  </commentList>
</comments>
</file>

<file path=xl/sharedStrings.xml><?xml version="1.0" encoding="utf-8"?>
<sst xmlns="http://schemas.openxmlformats.org/spreadsheetml/2006/main" count="1194" uniqueCount="134">
  <si>
    <t>Indeks</t>
  </si>
  <si>
    <t>År</t>
  </si>
  <si>
    <t>Måned</t>
  </si>
  <si>
    <t>Løn</t>
  </si>
  <si>
    <t>Diesel</t>
  </si>
  <si>
    <t>Forbrug</t>
  </si>
  <si>
    <t>Maskiner</t>
  </si>
  <si>
    <t>Rente</t>
  </si>
  <si>
    <t>Januar</t>
  </si>
  <si>
    <t>Februar</t>
  </si>
  <si>
    <t>Marts</t>
  </si>
  <si>
    <t>April</t>
  </si>
  <si>
    <t>Maj</t>
  </si>
  <si>
    <t>Juni</t>
  </si>
  <si>
    <t>August</t>
  </si>
  <si>
    <t>September</t>
  </si>
  <si>
    <t>Oktober</t>
  </si>
  <si>
    <t>November</t>
  </si>
  <si>
    <t>December</t>
  </si>
  <si>
    <t>-</t>
  </si>
  <si>
    <t>∆ Måned</t>
  </si>
  <si>
    <t>I alt</t>
  </si>
  <si>
    <t>Reelle vægte</t>
  </si>
  <si>
    <t>Navn</t>
  </si>
  <si>
    <t>DST Betegnelse</t>
  </si>
  <si>
    <t>Opdateres</t>
  </si>
  <si>
    <t>Hver 3. måned</t>
  </si>
  <si>
    <t>Hver måned</t>
  </si>
  <si>
    <t>Vægt</t>
  </si>
  <si>
    <t>Kilde</t>
  </si>
  <si>
    <t>Juli</t>
  </si>
  <si>
    <t>Skøn</t>
  </si>
  <si>
    <t>Kildebeskrivelse</t>
  </si>
  <si>
    <t>∆ Kvartal</t>
  </si>
  <si>
    <t>∆ År</t>
  </si>
  <si>
    <t>Udvikling i indeks</t>
  </si>
  <si>
    <t>∆ Halvår</t>
  </si>
  <si>
    <t>Forskydning</t>
  </si>
  <si>
    <t>6 måneder</t>
  </si>
  <si>
    <t>2 måneder</t>
  </si>
  <si>
    <t>Se note 1</t>
  </si>
  <si>
    <t>Se note 2</t>
  </si>
  <si>
    <t xml:space="preserve">Note 1: Omkostningsindekset for januar 2013 er ændret på grund af ændringer i lønsummen. </t>
  </si>
  <si>
    <t xml:space="preserve">Note 2: Omkostningsindekset for februar 2013 er ændret på grund af ændringer i lønsummen. </t>
  </si>
  <si>
    <t>Se note 3</t>
  </si>
  <si>
    <t>Note 3: Udarbejdet p.b.a. specielt udtræk af PRIS10 fra Danmarks Statistik. PRIS10 I ALT offentliggøres ikke længere.</t>
  </si>
  <si>
    <t>Note</t>
  </si>
  <si>
    <t>Kolonne1</t>
  </si>
  <si>
    <t>dec</t>
  </si>
  <si>
    <t>jan</t>
  </si>
  <si>
    <t>feb</t>
  </si>
  <si>
    <t>Anvendes</t>
  </si>
  <si>
    <t>mar</t>
  </si>
  <si>
    <t>apr</t>
  </si>
  <si>
    <t>2005=100</t>
  </si>
  <si>
    <t>2010=100</t>
  </si>
  <si>
    <t>Uggået indeks pris 10</t>
  </si>
  <si>
    <t>Indeks fremsendt til FynBus fra Danmarks Statistik</t>
  </si>
  <si>
    <t>Omregning</t>
  </si>
  <si>
    <t>maj</t>
  </si>
  <si>
    <t>jun</t>
  </si>
  <si>
    <t>juli</t>
  </si>
  <si>
    <t>juni</t>
  </si>
  <si>
    <t>august</t>
  </si>
  <si>
    <t>september</t>
  </si>
  <si>
    <t>oktober</t>
  </si>
  <si>
    <t>Se note 4</t>
  </si>
  <si>
    <r>
      <rPr>
        <b/>
        <sz val="10"/>
        <rFont val="Arial"/>
        <family val="2"/>
      </rPr>
      <t>Løn:</t>
    </r>
    <r>
      <rPr>
        <sz val="10"/>
        <rFont val="Arial"/>
        <family val="2"/>
      </rPr>
      <t xml:space="preserve"> Lønindeks for den private og offentlige sektor .. ILON2: Lønindeks for den private sektor (1. kvt. 2005 = 100) efter branche, tid og sæsonkorrigeret - TOTAL
</t>
    </r>
    <r>
      <rPr>
        <sz val="9"/>
        <rFont val="Arial"/>
        <family val="2"/>
      </rPr>
      <t>Fra 1.1.2013 reguleres lønindeks med ændring i lønsum (1,0101)</t>
    </r>
    <r>
      <rPr>
        <sz val="10"/>
        <rFont val="Arial"/>
        <family val="2"/>
      </rPr>
      <t xml:space="preserve">
Fra 1. kvt. 2014 ændret til ILON12.</t>
    </r>
  </si>
  <si>
    <t>.</t>
  </si>
  <si>
    <t>Note 5</t>
  </si>
  <si>
    <t>Note 5:</t>
  </si>
  <si>
    <r>
      <rPr>
        <b/>
        <sz val="10"/>
        <rFont val="Arial"/>
        <family val="2"/>
      </rPr>
      <t>Indkomst, forbrug og priser:</t>
    </r>
    <r>
      <rPr>
        <sz val="10"/>
        <rFont val="Arial"/>
        <family val="2"/>
      </rPr>
      <t xml:space="preserve"> Prisindeks .. PRIS111: Forbrugerprisindeks - 00. I ALT</t>
    </r>
  </si>
  <si>
    <t>Udgået PRIS6 ultimo 2015 ændres til PRIS111 iht. Danmark Statistik</t>
  </si>
  <si>
    <t>Ny vægt i indeks</t>
  </si>
  <si>
    <t>Forbrugerpris</t>
  </si>
  <si>
    <t>Listepris</t>
  </si>
  <si>
    <t>Udgangspunkt</t>
  </si>
  <si>
    <t>Energiafgift</t>
  </si>
  <si>
    <t>Nuværende</t>
  </si>
  <si>
    <t>CO2-afgift</t>
  </si>
  <si>
    <t>Reel vægt</t>
  </si>
  <si>
    <t>NOx-afgift</t>
  </si>
  <si>
    <t>SUM</t>
  </si>
  <si>
    <t>MJ/l</t>
  </si>
  <si>
    <t>Danmarks Statistiko og www.statistikbanken.dk og Svensk Kollektivtrafik</t>
  </si>
  <si>
    <t xml:space="preserve">Januar </t>
  </si>
  <si>
    <t>februar</t>
  </si>
  <si>
    <t>Kurs SEK</t>
  </si>
  <si>
    <t>Note 4a:</t>
  </si>
  <si>
    <r>
      <rPr>
        <b/>
        <sz val="10"/>
        <rFont val="Arial"/>
        <family val="2"/>
      </rPr>
      <t>Indkomst, forbrug og priser:</t>
    </r>
    <r>
      <rPr>
        <sz val="10"/>
        <rFont val="Arial"/>
        <family val="2"/>
      </rPr>
      <t xml:space="preserve"> Prisindeks .. PRIS10: Prisindeks for indenlandsk vareforsyning - Maskiner og værktøjer samt varetransportmidler - ALT
1.11.2014 PRIS10 UDGÅR og erstattes af
PRIS11.87 køretøjer og dele detil I ALT.
</t>
    </r>
    <r>
      <rPr>
        <sz val="10"/>
        <color indexed="62"/>
        <rFont val="Arial"/>
        <family val="2"/>
      </rPr>
      <t>PRIS11.87 køretøjer og dele dertil i ALT. Erstattes 1.3.2019 af</t>
    </r>
    <r>
      <rPr>
        <sz val="10"/>
        <rFont val="Arial"/>
        <family val="2"/>
      </rPr>
      <t xml:space="preserve"> </t>
    </r>
    <r>
      <rPr>
        <b/>
        <sz val="10"/>
        <color indexed="62"/>
        <rFont val="Arial"/>
        <family val="2"/>
      </rPr>
      <t>PRIS1115.87 I Alt. Indeksbasisåret er skiftet fra 2010=100 til 2015=100</t>
    </r>
  </si>
  <si>
    <t>RME pris december 2019</t>
  </si>
  <si>
    <t>DKK per liter</t>
  </si>
  <si>
    <t>kilde:</t>
  </si>
  <si>
    <t>Biofuel Express</t>
  </si>
  <si>
    <t>https://www.skm.dk/skattetal/satser/satser-og-beloebsgraenser/kvaelstofoxiderafgiftsloven-nox</t>
  </si>
  <si>
    <t>https://skat.dk/SKAT.aspx?oid=2060519</t>
  </si>
  <si>
    <t>Levering</t>
  </si>
  <si>
    <t>Prisniveau for levering af dieselolie.</t>
  </si>
  <si>
    <t>moms</t>
  </si>
  <si>
    <t>oplagshaverordning tillader refusion af moms for punktafgifter</t>
  </si>
  <si>
    <t>koorigeret for energiindhold</t>
  </si>
  <si>
    <t>RME Energiindhold</t>
  </si>
  <si>
    <t xml:space="preserve">kilde: </t>
  </si>
  <si>
    <t>Klimapåvirkning fra transportbrændstoffer. Opdatering af beregningsværdier i DS/EN 16258:2012, Teknologisk Institut, 2018</t>
  </si>
  <si>
    <t>diesel B7 Energiindhold</t>
  </si>
  <si>
    <t>energiindhold RME/diesel B7</t>
  </si>
  <si>
    <t>%</t>
  </si>
  <si>
    <t>Alm diesel (B7) pris december 2019</t>
  </si>
  <si>
    <t>https://www.skm.dk/skattetal/satser/satser-og-beloebsgraenser/co2-afgiftsloven</t>
  </si>
  <si>
    <t>markedspris indhentet fra operatør</t>
  </si>
  <si>
    <t>Prisniveau for levering af dieselolie</t>
  </si>
  <si>
    <t>RME Omkostningsindeks</t>
  </si>
  <si>
    <t>Udgangspunkt for indeks svarer til diesel indeks med 42% prisstigning</t>
  </si>
  <si>
    <t>Samlet vægtning kommer fra baggrundsarket hos Trafikselskaberne, hvor der er lagt en prisstigning på diesel ind på 42 pct.</t>
  </si>
  <si>
    <t>PRIS10 udgår og er ændret til PRIS 11.87 i alt,  iht. aftale mellem DB/DI og Trafikselskaberne i DK</t>
  </si>
  <si>
    <t>Note 4b</t>
  </si>
  <si>
    <t>Pris 11.87 erstattes fra 1.3.2019 af PRIS1115.87 I ALT. Indeksbasisåret er skiftet fra 2010=100 til 2015=100</t>
  </si>
  <si>
    <t>Vægt med diesel (feb 20)</t>
  </si>
  <si>
    <t>RME</t>
  </si>
  <si>
    <t>Udgangspunkt 42 % over diesel</t>
  </si>
  <si>
    <t xml:space="preserve">Indeks for prisudviklingen for RME er baseret på et svensk RME-indeks, der offentliggøres på http://www.svenskkollektivtrafik.se/partnersamverkan/index/ </t>
  </si>
  <si>
    <t>RME indeks (forskudt to måned)</t>
  </si>
  <si>
    <t>Omregning fra SEK til DKK sker på basis af Nationalbankens valutakurser på samme dato som RME prisen er baseret*. http://www.nationalbanken.dk/da/statistik/valutakurs/Sider/default.aspx</t>
  </si>
  <si>
    <t>Vægt med RME (feb 20)</t>
  </si>
  <si>
    <t>Gns. for måned</t>
  </si>
  <si>
    <t>Det svenske RME indeks for fx december er baseret på den gennemsnitlige pris for rapsolie i december pga. forskydning indgår det i det samlede indeks for februar. I februar indekset er gennemsnitlig valutakurs for december brugt til omregning</t>
  </si>
  <si>
    <t xml:space="preserve">Udgangspunkt     </t>
  </si>
  <si>
    <t xml:space="preserve">Nuværende       </t>
  </si>
  <si>
    <t>Indeks februar 2008</t>
  </si>
  <si>
    <t>april</t>
  </si>
  <si>
    <t>Danmarks Statistik</t>
  </si>
  <si>
    <t xml:space="preserve">Pris6  udgår og offentliggøres sidste gang december 2015 men ændres til PRIS111 primo 2016 iht. skrivelse fra </t>
  </si>
  <si>
    <t>rentegennemsnit (nasdaqomxnordic.com)</t>
  </si>
  <si>
    <r>
      <rPr>
        <b/>
        <sz val="9"/>
        <rFont val="Arial"/>
        <family val="2"/>
      </rPr>
      <t>Udgår</t>
    </r>
    <r>
      <rPr>
        <b/>
        <sz val="10"/>
        <rFont val="Arial"/>
        <family val="2"/>
      </rPr>
      <t xml:space="preserve">: </t>
    </r>
    <r>
      <rPr>
        <b/>
        <sz val="9"/>
        <rFont val="Arial"/>
        <family val="2"/>
      </rPr>
      <t>Penge og kapitalmark</t>
    </r>
    <r>
      <rPr>
        <b/>
        <sz val="10"/>
        <rFont val="Arial"/>
        <family val="2"/>
      </rPr>
      <t xml:space="preserve">ed: </t>
    </r>
    <r>
      <rPr>
        <sz val="10"/>
        <rFont val="Arial"/>
        <family val="2"/>
      </rPr>
      <t xml:space="preserve">Rente- og kursudvikling .. MPK3: Samtlige serier (Obligationsrentegennemsnit)
</t>
    </r>
    <r>
      <rPr>
        <b/>
        <sz val="9"/>
        <rFont val="Arial"/>
        <family val="2"/>
      </rPr>
      <t xml:space="preserve">Ændres til: </t>
    </r>
    <r>
      <rPr>
        <sz val="9"/>
        <rFont val="Arial"/>
        <family val="2"/>
      </rPr>
      <t>fra 2021 renten på Nasdaq - Average Bond Yield-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</si>
</sst>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 * #,##0.00_ ;_ * \-#,##0.00_ ;_ * &quot;-&quot;??_ ;_ @_ "/>
    <numFmt numFmtId="165" formatCode="_(* #,##0.00_);_(* \(#,##0.00\);_(* &quot;-&quot;??_);_(@_)"/>
    <numFmt numFmtId="166" formatCode="0.0"/>
    <numFmt numFmtId="167" formatCode="0.0%"/>
    <numFmt numFmtId="168" formatCode="#,##0.0_ ;\-#,##0.0\ "/>
    <numFmt numFmtId="169" formatCode="0.000"/>
    <numFmt numFmtId="170" formatCode="_ * #,##0.0_ ;_ * \-#,##0.0_ ;_ * &quot;-&quot;??_ ;_ @_ "/>
    <numFmt numFmtId="171" formatCode="_(* #,##0_);_(* \(#,##0\);_(* &quot;-&quot;??_);_(@_)"/>
    <numFmt numFmtId="172" formatCode="_(* #,##0.0_);_(* \(#,##0.0\);_(* &quot;-&quot;??_);_(@_)"/>
    <numFmt numFmtId="173" formatCode="0.00000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sz val="10"/>
      <name val="Arial"/>
      <family val="2"/>
    </font>
    <font>
      <i/>
      <sz val="10"/>
      <name val="Arial"/>
      <family val="2"/>
    </font>
    <font>
      <sz val="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name val="Calibri"/>
      <family val="2"/>
      <scheme val="minor"/>
    </font>
    <font>
      <sz val="10"/>
      <color rgb="FFFF0000"/>
      <name val="Arial"/>
      <family val="2"/>
    </font>
    <font>
      <i/>
      <sz val="12"/>
      <name val="Arial"/>
      <family val="2"/>
    </font>
    <font>
      <sz val="10"/>
      <color theme="1"/>
      <name val="Arial"/>
      <family val="2"/>
    </font>
    <font>
      <sz val="1"/>
      <color theme="1"/>
      <name val="Arial"/>
      <family val="2"/>
    </font>
    <font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lightDown">
        <fgColor theme="3" tint="0.59996337778862885"/>
        <bgColor indexed="65"/>
      </patternFill>
    </fill>
    <fill>
      <patternFill patternType="lightDown">
        <fgColor rgb="FFFF0000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5"/>
      </patternFill>
    </fill>
    <fill>
      <patternFill patternType="solid">
        <fgColor indexed="65"/>
        <bgColor rgb="FFFF0000"/>
      </patternFill>
    </fill>
    <fill>
      <patternFill patternType="solid">
        <fgColor theme="0" tint="-0.14999847407452621"/>
        <bgColor theme="0" tint="-0.14999847407452621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5">
    <xf numFmtId="0" fontId="0" fillId="0" borderId="0"/>
    <xf numFmtId="165" fontId="2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2" fillId="0" borderId="0"/>
    <xf numFmtId="0" fontId="2" fillId="0" borderId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99">
    <xf numFmtId="0" fontId="0" fillId="0" borderId="0" xfId="0"/>
    <xf numFmtId="0" fontId="3" fillId="0" borderId="0" xfId="0" applyFont="1"/>
    <xf numFmtId="0" fontId="4" fillId="0" borderId="0" xfId="0" applyFont="1"/>
    <xf numFmtId="9" fontId="4" fillId="0" borderId="0" xfId="0" applyNumberFormat="1" applyFont="1"/>
    <xf numFmtId="165" fontId="0" fillId="0" borderId="0" xfId="0" applyNumberFormat="1"/>
    <xf numFmtId="0" fontId="8" fillId="0" borderId="0" xfId="0" applyFont="1"/>
    <xf numFmtId="0" fontId="7" fillId="0" borderId="0" xfId="0" applyFont="1"/>
    <xf numFmtId="166" fontId="4" fillId="0" borderId="0" xfId="0" applyNumberFormat="1" applyFont="1"/>
    <xf numFmtId="2" fontId="4" fillId="0" borderId="0" xfId="0" applyNumberFormat="1" applyFont="1"/>
    <xf numFmtId="165" fontId="4" fillId="0" borderId="0" xfId="0" applyNumberFormat="1" applyFont="1"/>
    <xf numFmtId="0" fontId="9" fillId="0" borderId="0" xfId="0" applyFont="1"/>
    <xf numFmtId="166" fontId="0" fillId="0" borderId="0" xfId="0" applyNumberFormat="1"/>
    <xf numFmtId="0" fontId="9" fillId="0" borderId="1" xfId="0" applyFont="1" applyBorder="1"/>
    <xf numFmtId="0" fontId="0" fillId="0" borderId="1" xfId="0" applyBorder="1"/>
    <xf numFmtId="166" fontId="0" fillId="0" borderId="1" xfId="0" applyNumberFormat="1" applyBorder="1"/>
    <xf numFmtId="2" fontId="0" fillId="0" borderId="1" xfId="0" applyNumberFormat="1" applyBorder="1"/>
    <xf numFmtId="165" fontId="0" fillId="0" borderId="1" xfId="0" applyNumberFormat="1" applyBorder="1"/>
    <xf numFmtId="0" fontId="9" fillId="0" borderId="2" xfId="0" applyFont="1" applyBorder="1"/>
    <xf numFmtId="0" fontId="0" fillId="0" borderId="2" xfId="0" applyBorder="1"/>
    <xf numFmtId="166" fontId="0" fillId="0" borderId="2" xfId="0" applyNumberFormat="1" applyBorder="1"/>
    <xf numFmtId="165" fontId="0" fillId="0" borderId="2" xfId="0" applyNumberFormat="1" applyBorder="1"/>
    <xf numFmtId="2" fontId="0" fillId="0" borderId="0" xfId="0" applyNumberFormat="1"/>
    <xf numFmtId="0" fontId="7" fillId="0" borderId="2" xfId="0" applyFont="1" applyBorder="1"/>
    <xf numFmtId="2" fontId="0" fillId="0" borderId="2" xfId="0" applyNumberFormat="1" applyBorder="1"/>
    <xf numFmtId="166" fontId="7" fillId="0" borderId="2" xfId="0" applyNumberFormat="1" applyFont="1" applyBorder="1"/>
    <xf numFmtId="0" fontId="1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3" fillId="0" borderId="0" xfId="0" applyFont="1"/>
    <xf numFmtId="164" fontId="10" fillId="0" borderId="0" xfId="0" applyNumberFormat="1" applyFont="1"/>
    <xf numFmtId="0" fontId="9" fillId="0" borderId="3" xfId="0" applyFont="1" applyBorder="1"/>
    <xf numFmtId="0" fontId="0" fillId="0" borderId="3" xfId="0" applyBorder="1"/>
    <xf numFmtId="166" fontId="0" fillId="0" borderId="3" xfId="0" applyNumberFormat="1" applyBorder="1"/>
    <xf numFmtId="165" fontId="0" fillId="0" borderId="3" xfId="0" applyNumberFormat="1" applyBorder="1"/>
    <xf numFmtId="0" fontId="0" fillId="0" borderId="0" xfId="0" applyAlignment="1">
      <alignment horizontal="right"/>
    </xf>
    <xf numFmtId="0" fontId="0" fillId="2" borderId="1" xfId="0" applyFill="1" applyBorder="1"/>
    <xf numFmtId="0" fontId="0" fillId="2" borderId="2" xfId="0" applyFill="1" applyBorder="1"/>
    <xf numFmtId="0" fontId="0" fillId="2" borderId="0" xfId="0" applyFill="1"/>
    <xf numFmtId="0" fontId="0" fillId="2" borderId="3" xfId="0" applyFill="1" applyBorder="1"/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166" fontId="11" fillId="0" borderId="0" xfId="1" applyNumberFormat="1" applyFont="1" applyBorder="1" applyAlignment="1">
      <alignment horizontal="center"/>
    </xf>
    <xf numFmtId="166" fontId="12" fillId="0" borderId="0" xfId="1" applyNumberFormat="1" applyFont="1" applyBorder="1" applyAlignment="1">
      <alignment horizontal="center"/>
    </xf>
    <xf numFmtId="166" fontId="12" fillId="0" borderId="1" xfId="1" applyNumberFormat="1" applyFont="1" applyBorder="1" applyAlignment="1">
      <alignment horizontal="center"/>
    </xf>
    <xf numFmtId="166" fontId="12" fillId="0" borderId="2" xfId="1" applyNumberFormat="1" applyFont="1" applyBorder="1" applyAlignment="1">
      <alignment horizontal="center"/>
    </xf>
    <xf numFmtId="166" fontId="12" fillId="0" borderId="3" xfId="1" applyNumberFormat="1" applyFont="1" applyBorder="1" applyAlignment="1">
      <alignment horizontal="center"/>
    </xf>
    <xf numFmtId="166" fontId="12" fillId="0" borderId="0" xfId="1" applyNumberFormat="1" applyFont="1" applyFill="1" applyBorder="1" applyAlignment="1">
      <alignment horizontal="center"/>
    </xf>
    <xf numFmtId="0" fontId="4" fillId="0" borderId="4" xfId="0" applyFont="1" applyBorder="1"/>
    <xf numFmtId="0" fontId="0" fillId="0" borderId="4" xfId="0" applyBorder="1"/>
    <xf numFmtId="167" fontId="0" fillId="0" borderId="4" xfId="0" applyNumberFormat="1" applyBorder="1"/>
    <xf numFmtId="165" fontId="0" fillId="2" borderId="0" xfId="0" applyNumberFormat="1" applyFill="1"/>
    <xf numFmtId="165" fontId="0" fillId="2" borderId="1" xfId="0" applyNumberFormat="1" applyFill="1" applyBorder="1"/>
    <xf numFmtId="165" fontId="0" fillId="2" borderId="2" xfId="0" applyNumberFormat="1" applyFill="1" applyBorder="1"/>
    <xf numFmtId="168" fontId="10" fillId="0" borderId="0" xfId="0" applyNumberFormat="1" applyFont="1"/>
    <xf numFmtId="166" fontId="12" fillId="0" borderId="0" xfId="0" applyNumberFormat="1" applyFont="1" applyAlignment="1">
      <alignment horizontal="center"/>
    </xf>
    <xf numFmtId="166" fontId="12" fillId="0" borderId="2" xfId="0" applyNumberFormat="1" applyFont="1" applyBorder="1" applyAlignment="1">
      <alignment horizontal="center"/>
    </xf>
    <xf numFmtId="166" fontId="7" fillId="0" borderId="0" xfId="0" applyNumberFormat="1" applyFont="1"/>
    <xf numFmtId="2" fontId="0" fillId="0" borderId="3" xfId="0" applyNumberFormat="1" applyBorder="1"/>
    <xf numFmtId="2" fontId="8" fillId="0" borderId="0" xfId="0" applyNumberFormat="1" applyFont="1"/>
    <xf numFmtId="0" fontId="11" fillId="0" borderId="0" xfId="0" applyFont="1"/>
    <xf numFmtId="167" fontId="0" fillId="0" borderId="0" xfId="0" applyNumberFormat="1"/>
    <xf numFmtId="167" fontId="0" fillId="0" borderId="1" xfId="0" applyNumberFormat="1" applyBorder="1"/>
    <xf numFmtId="167" fontId="0" fillId="0" borderId="2" xfId="0" applyNumberFormat="1" applyBorder="1"/>
    <xf numFmtId="167" fontId="0" fillId="0" borderId="3" xfId="0" applyNumberFormat="1" applyBorder="1"/>
    <xf numFmtId="167" fontId="4" fillId="0" borderId="0" xfId="0" applyNumberFormat="1" applyFont="1"/>
    <xf numFmtId="167" fontId="7" fillId="0" borderId="1" xfId="0" applyNumberFormat="1" applyFont="1" applyBorder="1"/>
    <xf numFmtId="165" fontId="12" fillId="0" borderId="0" xfId="1" applyFont="1" applyBorder="1" applyAlignment="1">
      <alignment horizontal="center"/>
    </xf>
    <xf numFmtId="165" fontId="12" fillId="0" borderId="1" xfId="1" applyFont="1" applyBorder="1" applyAlignment="1">
      <alignment horizontal="center"/>
    </xf>
    <xf numFmtId="165" fontId="12" fillId="0" borderId="2" xfId="1" applyFont="1" applyBorder="1" applyAlignment="1">
      <alignment horizontal="center"/>
    </xf>
    <xf numFmtId="165" fontId="12" fillId="0" borderId="3" xfId="1" applyFont="1" applyBorder="1" applyAlignment="1">
      <alignment horizontal="center"/>
    </xf>
    <xf numFmtId="2" fontId="8" fillId="3" borderId="0" xfId="0" applyNumberFormat="1" applyFont="1" applyFill="1"/>
    <xf numFmtId="2" fontId="8" fillId="3" borderId="1" xfId="0" applyNumberFormat="1" applyFont="1" applyFill="1" applyBorder="1"/>
    <xf numFmtId="0" fontId="14" fillId="3" borderId="0" xfId="0" applyFont="1" applyFill="1"/>
    <xf numFmtId="0" fontId="4" fillId="0" borderId="0" xfId="0" applyFont="1" applyAlignment="1">
      <alignment horizontal="right"/>
    </xf>
    <xf numFmtId="167" fontId="0" fillId="0" borderId="0" xfId="0" applyNumberFormat="1" applyAlignment="1">
      <alignment horizontal="right"/>
    </xf>
    <xf numFmtId="167" fontId="0" fillId="3" borderId="0" xfId="0" applyNumberFormat="1" applyFill="1"/>
    <xf numFmtId="167" fontId="0" fillId="3" borderId="1" xfId="0" applyNumberFormat="1" applyFill="1" applyBorder="1"/>
    <xf numFmtId="165" fontId="12" fillId="0" borderId="0" xfId="1" applyFont="1" applyFill="1" applyBorder="1" applyAlignment="1">
      <alignment horizontal="center"/>
    </xf>
    <xf numFmtId="166" fontId="11" fillId="0" borderId="0" xfId="1" applyNumberFormat="1" applyFont="1" applyFill="1" applyBorder="1" applyAlignment="1">
      <alignment horizontal="center"/>
    </xf>
    <xf numFmtId="167" fontId="4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0" fontId="4" fillId="0" borderId="2" xfId="0" applyFont="1" applyBorder="1"/>
    <xf numFmtId="167" fontId="0" fillId="0" borderId="0" xfId="0" applyNumberFormat="1" applyAlignment="1">
      <alignment horizontal="center"/>
    </xf>
    <xf numFmtId="167" fontId="0" fillId="0" borderId="1" xfId="0" applyNumberFormat="1" applyBorder="1" applyAlignment="1">
      <alignment horizontal="center"/>
    </xf>
    <xf numFmtId="167" fontId="0" fillId="0" borderId="2" xfId="0" applyNumberFormat="1" applyBorder="1" applyAlignment="1">
      <alignment horizontal="center"/>
    </xf>
    <xf numFmtId="167" fontId="0" fillId="0" borderId="3" xfId="0" applyNumberFormat="1" applyBorder="1" applyAlignment="1">
      <alignment horizontal="center"/>
    </xf>
    <xf numFmtId="166" fontId="7" fillId="0" borderId="3" xfId="0" applyNumberFormat="1" applyFont="1" applyBorder="1"/>
    <xf numFmtId="166" fontId="12" fillId="0" borderId="3" xfId="0" applyNumberFormat="1" applyFont="1" applyBorder="1" applyAlignment="1">
      <alignment horizontal="center"/>
    </xf>
    <xf numFmtId="167" fontId="7" fillId="0" borderId="3" xfId="0" applyNumberFormat="1" applyFont="1" applyBorder="1"/>
    <xf numFmtId="166" fontId="7" fillId="0" borderId="1" xfId="0" applyNumberFormat="1" applyFont="1" applyBorder="1"/>
    <xf numFmtId="166" fontId="7" fillId="0" borderId="4" xfId="0" applyNumberFormat="1" applyFont="1" applyBorder="1"/>
    <xf numFmtId="167" fontId="7" fillId="0" borderId="0" xfId="0" applyNumberFormat="1" applyFont="1"/>
    <xf numFmtId="166" fontId="12" fillId="0" borderId="1" xfId="1" applyNumberFormat="1" applyFont="1" applyFill="1" applyBorder="1" applyAlignment="1">
      <alignment horizontal="center"/>
    </xf>
    <xf numFmtId="166" fontId="12" fillId="0" borderId="2" xfId="1" applyNumberFormat="1" applyFont="1" applyFill="1" applyBorder="1" applyAlignment="1">
      <alignment horizontal="center"/>
    </xf>
    <xf numFmtId="167" fontId="7" fillId="0" borderId="2" xfId="0" applyNumberFormat="1" applyFont="1" applyBorder="1"/>
    <xf numFmtId="0" fontId="0" fillId="0" borderId="0" xfId="0" applyAlignment="1">
      <alignment vertical="top"/>
    </xf>
    <xf numFmtId="167" fontId="7" fillId="0" borderId="4" xfId="0" applyNumberFormat="1" applyFont="1" applyBorder="1"/>
    <xf numFmtId="166" fontId="2" fillId="0" borderId="0" xfId="0" applyNumberFormat="1" applyFont="1"/>
    <xf numFmtId="2" fontId="2" fillId="0" borderId="2" xfId="0" applyNumberFormat="1" applyFont="1" applyBorder="1"/>
    <xf numFmtId="2" fontId="2" fillId="0" borderId="0" xfId="0" applyNumberFormat="1" applyFont="1"/>
    <xf numFmtId="166" fontId="2" fillId="0" borderId="1" xfId="0" applyNumberFormat="1" applyFont="1" applyBorder="1"/>
    <xf numFmtId="2" fontId="2" fillId="0" borderId="1" xfId="0" applyNumberFormat="1" applyFont="1" applyBorder="1"/>
    <xf numFmtId="166" fontId="2" fillId="0" borderId="3" xfId="0" applyNumberFormat="1" applyFont="1" applyBorder="1"/>
    <xf numFmtId="2" fontId="2" fillId="0" borderId="3" xfId="0" applyNumberFormat="1" applyFont="1" applyBorder="1"/>
    <xf numFmtId="2" fontId="8" fillId="3" borderId="2" xfId="0" applyNumberFormat="1" applyFont="1" applyFill="1" applyBorder="1"/>
    <xf numFmtId="166" fontId="8" fillId="3" borderId="0" xfId="0" applyNumberFormat="1" applyFont="1" applyFill="1"/>
    <xf numFmtId="166" fontId="8" fillId="3" borderId="1" xfId="0" applyNumberFormat="1" applyFont="1" applyFill="1" applyBorder="1"/>
    <xf numFmtId="166" fontId="8" fillId="3" borderId="2" xfId="0" applyNumberFormat="1" applyFont="1" applyFill="1" applyBorder="1"/>
    <xf numFmtId="166" fontId="2" fillId="4" borderId="0" xfId="0" applyNumberFormat="1" applyFont="1" applyFill="1"/>
    <xf numFmtId="166" fontId="12" fillId="4" borderId="0" xfId="1" applyNumberFormat="1" applyFont="1" applyFill="1" applyBorder="1" applyAlignment="1">
      <alignment horizontal="center"/>
    </xf>
    <xf numFmtId="167" fontId="2" fillId="3" borderId="0" xfId="0" applyNumberFormat="1" applyFont="1" applyFill="1"/>
    <xf numFmtId="0" fontId="2" fillId="4" borderId="0" xfId="0" applyFont="1" applyFill="1"/>
    <xf numFmtId="167" fontId="2" fillId="0" borderId="2" xfId="0" applyNumberFormat="1" applyFont="1" applyBorder="1"/>
    <xf numFmtId="166" fontId="12" fillId="0" borderId="1" xfId="0" applyNumberFormat="1" applyFont="1" applyBorder="1" applyAlignment="1">
      <alignment horizontal="center"/>
    </xf>
    <xf numFmtId="166" fontId="2" fillId="4" borderId="1" xfId="0" applyNumberFormat="1" applyFont="1" applyFill="1" applyBorder="1"/>
    <xf numFmtId="0" fontId="4" fillId="0" borderId="3" xfId="0" applyFont="1" applyBorder="1" applyAlignment="1">
      <alignment horizontal="left"/>
    </xf>
    <xf numFmtId="0" fontId="11" fillId="0" borderId="3" xfId="0" applyFont="1" applyBorder="1" applyAlignment="1">
      <alignment horizontal="center"/>
    </xf>
    <xf numFmtId="0" fontId="4" fillId="0" borderId="3" xfId="0" applyFont="1" applyBorder="1"/>
    <xf numFmtId="0" fontId="2" fillId="0" borderId="0" xfId="0" applyFont="1" applyAlignment="1">
      <alignment wrapText="1"/>
    </xf>
    <xf numFmtId="0" fontId="2" fillId="0" borderId="0" xfId="0" applyFont="1"/>
    <xf numFmtId="0" fontId="0" fillId="0" borderId="5" xfId="0" applyBorder="1"/>
    <xf numFmtId="166" fontId="0" fillId="0" borderId="5" xfId="0" applyNumberFormat="1" applyBorder="1"/>
    <xf numFmtId="0" fontId="0" fillId="5" borderId="5" xfId="0" applyFill="1" applyBorder="1"/>
    <xf numFmtId="166" fontId="0" fillId="4" borderId="5" xfId="0" applyNumberFormat="1" applyFill="1" applyBorder="1"/>
    <xf numFmtId="170" fontId="0" fillId="0" borderId="5" xfId="1" applyNumberFormat="1" applyFont="1" applyBorder="1"/>
    <xf numFmtId="0" fontId="4" fillId="0" borderId="5" xfId="0" applyFont="1" applyBorder="1"/>
    <xf numFmtId="0" fontId="2" fillId="0" borderId="5" xfId="0" applyFont="1" applyBorder="1"/>
    <xf numFmtId="0" fontId="2" fillId="0" borderId="6" xfId="0" applyFont="1" applyBorder="1"/>
    <xf numFmtId="0" fontId="2" fillId="6" borderId="0" xfId="0" applyFont="1" applyFill="1"/>
    <xf numFmtId="166" fontId="2" fillId="6" borderId="0" xfId="0" applyNumberFormat="1" applyFont="1" applyFill="1"/>
    <xf numFmtId="166" fontId="2" fillId="6" borderId="3" xfId="0" applyNumberFormat="1" applyFont="1" applyFill="1" applyBorder="1"/>
    <xf numFmtId="166" fontId="2" fillId="6" borderId="1" xfId="0" applyNumberFormat="1" applyFont="1" applyFill="1" applyBorder="1"/>
    <xf numFmtId="167" fontId="2" fillId="3" borderId="1" xfId="0" applyNumberFormat="1" applyFont="1" applyFill="1" applyBorder="1"/>
    <xf numFmtId="167" fontId="2" fillId="3" borderId="2" xfId="0" applyNumberFormat="1" applyFont="1" applyFill="1" applyBorder="1"/>
    <xf numFmtId="166" fontId="2" fillId="7" borderId="1" xfId="0" applyNumberFormat="1" applyFont="1" applyFill="1" applyBorder="1"/>
    <xf numFmtId="0" fontId="0" fillId="7" borderId="0" xfId="0" applyFill="1"/>
    <xf numFmtId="0" fontId="16" fillId="7" borderId="0" xfId="0" applyFont="1" applyFill="1"/>
    <xf numFmtId="0" fontId="5" fillId="7" borderId="0" xfId="0" applyFont="1" applyFill="1"/>
    <xf numFmtId="0" fontId="5" fillId="0" borderId="0" xfId="0" applyFont="1"/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5" fillId="6" borderId="0" xfId="0" applyFont="1" applyFill="1"/>
    <xf numFmtId="0" fontId="5" fillId="6" borderId="0" xfId="0" applyFont="1" applyFill="1" applyAlignment="1">
      <alignment horizontal="center"/>
    </xf>
    <xf numFmtId="0" fontId="5" fillId="0" borderId="0" xfId="0" applyFont="1" applyAlignment="1">
      <alignment wrapText="1"/>
    </xf>
    <xf numFmtId="166" fontId="2" fillId="7" borderId="0" xfId="0" applyNumberFormat="1" applyFont="1" applyFill="1"/>
    <xf numFmtId="166" fontId="2" fillId="7" borderId="3" xfId="0" applyNumberFormat="1" applyFont="1" applyFill="1" applyBorder="1"/>
    <xf numFmtId="166" fontId="2" fillId="8" borderId="0" xfId="0" applyNumberFormat="1" applyFont="1" applyFill="1"/>
    <xf numFmtId="0" fontId="0" fillId="8" borderId="0" xfId="0" applyFill="1"/>
    <xf numFmtId="0" fontId="0" fillId="0" borderId="0" xfId="0" applyAlignment="1">
      <alignment horizontal="center" wrapText="1"/>
    </xf>
    <xf numFmtId="0" fontId="12" fillId="0" borderId="0" xfId="0" applyFont="1" applyAlignment="1">
      <alignment horizontal="center"/>
    </xf>
    <xf numFmtId="0" fontId="2" fillId="0" borderId="7" xfId="8" applyBorder="1"/>
    <xf numFmtId="9" fontId="4" fillId="0" borderId="8" xfId="8" applyNumberFormat="1" applyFont="1" applyBorder="1"/>
    <xf numFmtId="0" fontId="2" fillId="0" borderId="9" xfId="8" applyBorder="1"/>
    <xf numFmtId="0" fontId="2" fillId="0" borderId="0" xfId="8"/>
    <xf numFmtId="0" fontId="2" fillId="0" borderId="10" xfId="8" applyBorder="1"/>
    <xf numFmtId="0" fontId="2" fillId="0" borderId="11" xfId="8" applyBorder="1"/>
    <xf numFmtId="0" fontId="2" fillId="0" borderId="6" xfId="8" applyBorder="1"/>
    <xf numFmtId="167" fontId="2" fillId="0" borderId="0" xfId="10" applyNumberFormat="1" applyFont="1" applyBorder="1"/>
    <xf numFmtId="9" fontId="2" fillId="0" borderId="0" xfId="9" applyFont="1" applyBorder="1"/>
    <xf numFmtId="167" fontId="2" fillId="0" borderId="12" xfId="10" applyNumberFormat="1" applyFont="1" applyBorder="1"/>
    <xf numFmtId="0" fontId="0" fillId="0" borderId="13" xfId="0" applyBorder="1"/>
    <xf numFmtId="0" fontId="0" fillId="0" borderId="14" xfId="0" applyBorder="1"/>
    <xf numFmtId="0" fontId="2" fillId="0" borderId="3" xfId="8" applyBorder="1"/>
    <xf numFmtId="0" fontId="0" fillId="0" borderId="15" xfId="0" applyBorder="1"/>
    <xf numFmtId="0" fontId="2" fillId="0" borderId="0" xfId="0" applyFont="1" applyAlignment="1">
      <alignment vertical="top"/>
    </xf>
    <xf numFmtId="0" fontId="7" fillId="9" borderId="2" xfId="0" applyFont="1" applyFill="1" applyBorder="1"/>
    <xf numFmtId="166" fontId="2" fillId="10" borderId="2" xfId="0" applyNumberFormat="1" applyFont="1" applyFill="1" applyBorder="1"/>
    <xf numFmtId="167" fontId="2" fillId="10" borderId="2" xfId="0" applyNumberFormat="1" applyFont="1" applyFill="1" applyBorder="1"/>
    <xf numFmtId="167" fontId="2" fillId="10" borderId="0" xfId="0" applyNumberFormat="1" applyFont="1" applyFill="1"/>
    <xf numFmtId="0" fontId="16" fillId="9" borderId="2" xfId="0" applyFont="1" applyFill="1" applyBorder="1"/>
    <xf numFmtId="9" fontId="4" fillId="0" borderId="5" xfId="8" applyNumberFormat="1" applyFont="1" applyBorder="1"/>
    <xf numFmtId="9" fontId="2" fillId="0" borderId="12" xfId="9" applyFont="1" applyBorder="1"/>
    <xf numFmtId="0" fontId="20" fillId="0" borderId="0" xfId="3" applyAlignment="1" applyProtection="1">
      <alignment wrapText="1"/>
    </xf>
    <xf numFmtId="0" fontId="4" fillId="9" borderId="7" xfId="0" applyFont="1" applyFill="1" applyBorder="1" applyAlignment="1">
      <alignment horizontal="left"/>
    </xf>
    <xf numFmtId="0" fontId="0" fillId="9" borderId="2" xfId="0" applyFill="1" applyBorder="1"/>
    <xf numFmtId="0" fontId="0" fillId="9" borderId="8" xfId="0" applyFill="1" applyBorder="1"/>
    <xf numFmtId="0" fontId="4" fillId="9" borderId="10" xfId="0" applyFont="1" applyFill="1" applyBorder="1" applyAlignment="1">
      <alignment horizontal="left"/>
    </xf>
    <xf numFmtId="0" fontId="2" fillId="9" borderId="1" xfId="0" applyFont="1" applyFill="1" applyBorder="1" applyAlignment="1">
      <alignment horizontal="center"/>
    </xf>
    <xf numFmtId="0" fontId="2" fillId="9" borderId="16" xfId="0" applyFont="1" applyFill="1" applyBorder="1"/>
    <xf numFmtId="0" fontId="0" fillId="9" borderId="1" xfId="0" applyFill="1" applyBorder="1"/>
    <xf numFmtId="0" fontId="16" fillId="9" borderId="2" xfId="0" applyFont="1" applyFill="1" applyBorder="1" applyAlignment="1">
      <alignment horizontal="center"/>
    </xf>
    <xf numFmtId="0" fontId="16" fillId="9" borderId="8" xfId="0" applyFont="1" applyFill="1" applyBorder="1" applyAlignment="1">
      <alignment horizontal="center"/>
    </xf>
    <xf numFmtId="0" fontId="4" fillId="9" borderId="7" xfId="0" applyFont="1" applyFill="1" applyBorder="1"/>
    <xf numFmtId="0" fontId="4" fillId="9" borderId="7" xfId="8" applyFont="1" applyFill="1" applyBorder="1"/>
    <xf numFmtId="166" fontId="2" fillId="0" borderId="9" xfId="8" applyNumberFormat="1" applyBorder="1"/>
    <xf numFmtId="166" fontId="2" fillId="0" borderId="6" xfId="8" applyNumberFormat="1" applyBorder="1"/>
    <xf numFmtId="166" fontId="4" fillId="9" borderId="9" xfId="8" applyNumberFormat="1" applyFont="1" applyFill="1" applyBorder="1"/>
    <xf numFmtId="0" fontId="2" fillId="0" borderId="5" xfId="8" applyBorder="1"/>
    <xf numFmtId="9" fontId="4" fillId="0" borderId="17" xfId="9" applyFont="1" applyBorder="1"/>
    <xf numFmtId="0" fontId="0" fillId="0" borderId="9" xfId="0" applyBorder="1"/>
    <xf numFmtId="14" fontId="0" fillId="0" borderId="0" xfId="0" applyNumberFormat="1"/>
    <xf numFmtId="0" fontId="0" fillId="0" borderId="18" xfId="0" applyBorder="1"/>
    <xf numFmtId="0" fontId="2" fillId="0" borderId="9" xfId="0" applyFont="1" applyBorder="1"/>
    <xf numFmtId="0" fontId="0" fillId="0" borderId="10" xfId="0" applyBorder="1"/>
    <xf numFmtId="0" fontId="0" fillId="0" borderId="16" xfId="0" applyBorder="1"/>
    <xf numFmtId="14" fontId="0" fillId="0" borderId="1" xfId="0" applyNumberFormat="1" applyBorder="1"/>
    <xf numFmtId="2" fontId="0" fillId="0" borderId="18" xfId="0" applyNumberFormat="1" applyBorder="1"/>
    <xf numFmtId="0" fontId="28" fillId="0" borderId="0" xfId="0" applyFont="1"/>
    <xf numFmtId="0" fontId="26" fillId="0" borderId="0" xfId="4"/>
    <xf numFmtId="0" fontId="27" fillId="0" borderId="0" xfId="0" applyFont="1"/>
    <xf numFmtId="2" fontId="27" fillId="0" borderId="0" xfId="0" applyNumberFormat="1" applyFont="1"/>
    <xf numFmtId="9" fontId="0" fillId="0" borderId="0" xfId="9" applyFont="1"/>
    <xf numFmtId="0" fontId="2" fillId="0" borderId="4" xfId="0" applyFont="1" applyBorder="1"/>
    <xf numFmtId="166" fontId="2" fillId="0" borderId="4" xfId="0" applyNumberFormat="1" applyFont="1" applyBorder="1"/>
    <xf numFmtId="16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Alignment="1">
      <alignment horizontal="right"/>
    </xf>
    <xf numFmtId="164" fontId="2" fillId="0" borderId="0" xfId="0" applyNumberFormat="1" applyFont="1"/>
    <xf numFmtId="166" fontId="2" fillId="0" borderId="2" xfId="0" applyNumberFormat="1" applyFont="1" applyBorder="1"/>
    <xf numFmtId="10" fontId="2" fillId="0" borderId="0" xfId="0" applyNumberFormat="1" applyFont="1" applyAlignment="1">
      <alignment horizontal="right"/>
    </xf>
    <xf numFmtId="165" fontId="2" fillId="0" borderId="0" xfId="1" applyFont="1"/>
    <xf numFmtId="167" fontId="2" fillId="0" borderId="0" xfId="0" applyNumberFormat="1" applyFont="1" applyAlignment="1">
      <alignment horizontal="center"/>
    </xf>
    <xf numFmtId="167" fontId="2" fillId="0" borderId="1" xfId="0" applyNumberFormat="1" applyFont="1" applyBorder="1"/>
    <xf numFmtId="167" fontId="2" fillId="0" borderId="0" xfId="0" applyNumberFormat="1" applyFont="1"/>
    <xf numFmtId="167" fontId="0" fillId="0" borderId="0" xfId="10" applyNumberFormat="1" applyFont="1" applyBorder="1"/>
    <xf numFmtId="166" fontId="4" fillId="0" borderId="4" xfId="0" applyNumberFormat="1" applyFont="1" applyBorder="1"/>
    <xf numFmtId="0" fontId="30" fillId="0" borderId="0" xfId="0" applyFont="1"/>
    <xf numFmtId="0" fontId="30" fillId="0" borderId="14" xfId="0" applyFont="1" applyBorder="1"/>
    <xf numFmtId="2" fontId="2" fillId="0" borderId="7" xfId="8" applyNumberFormat="1" applyBorder="1"/>
    <xf numFmtId="165" fontId="2" fillId="0" borderId="9" xfId="1" applyFont="1" applyBorder="1"/>
    <xf numFmtId="2" fontId="2" fillId="0" borderId="9" xfId="8" applyNumberFormat="1" applyBorder="1"/>
    <xf numFmtId="0" fontId="30" fillId="0" borderId="0" xfId="0" applyFont="1" applyAlignment="1">
      <alignment horizontal="left"/>
    </xf>
    <xf numFmtId="2" fontId="30" fillId="0" borderId="0" xfId="0" applyNumberFormat="1" applyFont="1" applyAlignment="1">
      <alignment horizontal="left"/>
    </xf>
    <xf numFmtId="167" fontId="4" fillId="0" borderId="10" xfId="10" applyNumberFormat="1" applyFont="1" applyBorder="1"/>
    <xf numFmtId="167" fontId="4" fillId="0" borderId="9" xfId="9" applyNumberFormat="1" applyFont="1" applyBorder="1"/>
    <xf numFmtId="0" fontId="22" fillId="9" borderId="2" xfId="0" applyFont="1" applyFill="1" applyBorder="1" applyAlignment="1">
      <alignment horizontal="center"/>
    </xf>
    <xf numFmtId="0" fontId="31" fillId="0" borderId="0" xfId="0" applyFont="1"/>
    <xf numFmtId="14" fontId="2" fillId="8" borderId="0" xfId="0" applyNumberFormat="1" applyFont="1" applyFill="1"/>
    <xf numFmtId="2" fontId="10" fillId="8" borderId="0" xfId="0" applyNumberFormat="1" applyFont="1" applyFill="1" applyAlignment="1">
      <alignment horizontal="left"/>
    </xf>
    <xf numFmtId="2" fontId="2" fillId="8" borderId="18" xfId="0" applyNumberFormat="1" applyFont="1" applyFill="1" applyBorder="1"/>
    <xf numFmtId="167" fontId="4" fillId="0" borderId="10" xfId="9" applyNumberFormat="1" applyFont="1" applyBorder="1"/>
    <xf numFmtId="14" fontId="2" fillId="0" borderId="0" xfId="0" applyNumberFormat="1" applyFont="1"/>
    <xf numFmtId="166" fontId="29" fillId="3" borderId="0" xfId="0" applyNumberFormat="1" applyFont="1" applyFill="1"/>
    <xf numFmtId="166" fontId="29" fillId="3" borderId="1" xfId="0" applyNumberFormat="1" applyFont="1" applyFill="1" applyBorder="1"/>
    <xf numFmtId="0" fontId="32" fillId="0" borderId="0" xfId="0" applyFont="1"/>
    <xf numFmtId="171" fontId="0" fillId="0" borderId="0" xfId="1" applyNumberFormat="1" applyFont="1"/>
    <xf numFmtId="169" fontId="0" fillId="0" borderId="0" xfId="0" applyNumberFormat="1"/>
    <xf numFmtId="1" fontId="0" fillId="0" borderId="0" xfId="0" applyNumberFormat="1"/>
    <xf numFmtId="165" fontId="0" fillId="0" borderId="0" xfId="1" applyFont="1"/>
    <xf numFmtId="166" fontId="2" fillId="8" borderId="1" xfId="0" applyNumberFormat="1" applyFont="1" applyFill="1" applyBorder="1"/>
    <xf numFmtId="166" fontId="2" fillId="9" borderId="0" xfId="0" applyNumberFormat="1" applyFont="1" applyFill="1"/>
    <xf numFmtId="166" fontId="2" fillId="9" borderId="1" xfId="0" applyNumberFormat="1" applyFont="1" applyFill="1" applyBorder="1"/>
    <xf numFmtId="0" fontId="2" fillId="8" borderId="0" xfId="0" applyFont="1" applyFill="1"/>
    <xf numFmtId="14" fontId="0" fillId="0" borderId="0" xfId="0" applyNumberFormat="1" applyAlignment="1">
      <alignment horizontal="left"/>
    </xf>
    <xf numFmtId="14" fontId="2" fillId="0" borderId="0" xfId="0" applyNumberFormat="1" applyFont="1" applyAlignment="1">
      <alignment horizontal="left"/>
    </xf>
    <xf numFmtId="166" fontId="2" fillId="11" borderId="0" xfId="0" applyNumberFormat="1" applyFont="1" applyFill="1"/>
    <xf numFmtId="167" fontId="0" fillId="11" borderId="0" xfId="0" applyNumberFormat="1" applyFill="1"/>
    <xf numFmtId="167" fontId="2" fillId="11" borderId="0" xfId="0" applyNumberFormat="1" applyFont="1" applyFill="1"/>
    <xf numFmtId="166" fontId="33" fillId="3" borderId="0" xfId="1" applyNumberFormat="1" applyFont="1" applyFill="1" applyBorder="1" applyAlignment="1">
      <alignment horizontal="center"/>
    </xf>
    <xf numFmtId="166" fontId="33" fillId="3" borderId="1" xfId="1" applyNumberFormat="1" applyFont="1" applyFill="1" applyBorder="1" applyAlignment="1">
      <alignment horizontal="center"/>
    </xf>
    <xf numFmtId="166" fontId="2" fillId="3" borderId="1" xfId="0" applyNumberFormat="1" applyFont="1" applyFill="1" applyBorder="1"/>
    <xf numFmtId="0" fontId="34" fillId="12" borderId="0" xfId="0" applyFont="1" applyFill="1"/>
    <xf numFmtId="166" fontId="29" fillId="12" borderId="0" xfId="0" applyNumberFormat="1" applyFont="1" applyFill="1"/>
    <xf numFmtId="167" fontId="29" fillId="12" borderId="4" xfId="0" applyNumberFormat="1" applyFont="1" applyFill="1" applyBorder="1"/>
    <xf numFmtId="166" fontId="29" fillId="12" borderId="4" xfId="0" applyNumberFormat="1" applyFont="1" applyFill="1" applyBorder="1"/>
    <xf numFmtId="0" fontId="35" fillId="0" borderId="0" xfId="0" applyFont="1"/>
    <xf numFmtId="0" fontId="34" fillId="0" borderId="0" xfId="0" applyFont="1"/>
    <xf numFmtId="166" fontId="29" fillId="0" borderId="0" xfId="0" applyNumberFormat="1" applyFont="1"/>
    <xf numFmtId="167" fontId="29" fillId="0" borderId="0" xfId="0" applyNumberFormat="1" applyFont="1"/>
    <xf numFmtId="172" fontId="0" fillId="0" borderId="0" xfId="1" applyNumberFormat="1" applyFont="1"/>
    <xf numFmtId="0" fontId="35" fillId="12" borderId="1" xfId="0" applyFont="1" applyFill="1" applyBorder="1"/>
    <xf numFmtId="0" fontId="29" fillId="12" borderId="1" xfId="0" applyFont="1" applyFill="1" applyBorder="1"/>
    <xf numFmtId="166" fontId="29" fillId="12" borderId="1" xfId="0" applyNumberFormat="1" applyFont="1" applyFill="1" applyBorder="1"/>
    <xf numFmtId="167" fontId="29" fillId="12" borderId="1" xfId="0" applyNumberFormat="1" applyFont="1" applyFill="1" applyBorder="1"/>
    <xf numFmtId="0" fontId="36" fillId="0" borderId="0" xfId="0" applyFont="1"/>
    <xf numFmtId="166" fontId="2" fillId="9" borderId="3" xfId="0" applyNumberFormat="1" applyFont="1" applyFill="1" applyBorder="1"/>
    <xf numFmtId="0" fontId="35" fillId="12" borderId="0" xfId="0" applyFont="1" applyFill="1"/>
    <xf numFmtId="0" fontId="36" fillId="12" borderId="0" xfId="0" applyFont="1" applyFill="1"/>
    <xf numFmtId="167" fontId="29" fillId="12" borderId="0" xfId="0" applyNumberFormat="1" applyFont="1" applyFill="1"/>
    <xf numFmtId="0" fontId="35" fillId="0" borderId="1" xfId="0" applyFont="1" applyBorder="1"/>
    <xf numFmtId="0" fontId="36" fillId="0" borderId="1" xfId="0" applyFont="1" applyBorder="1"/>
    <xf numFmtId="166" fontId="29" fillId="0" borderId="1" xfId="0" applyNumberFormat="1" applyFont="1" applyBorder="1"/>
    <xf numFmtId="167" fontId="29" fillId="0" borderId="1" xfId="0" applyNumberFormat="1" applyFont="1" applyBorder="1"/>
    <xf numFmtId="0" fontId="36" fillId="12" borderId="1" xfId="0" applyFont="1" applyFill="1" applyBorder="1"/>
    <xf numFmtId="0" fontId="35" fillId="0" borderId="2" xfId="0" applyFont="1" applyBorder="1"/>
    <xf numFmtId="0" fontId="36" fillId="0" borderId="2" xfId="0" applyFont="1" applyBorder="1"/>
    <xf numFmtId="0" fontId="35" fillId="0" borderId="3" xfId="0" applyFont="1" applyBorder="1"/>
    <xf numFmtId="0" fontId="36" fillId="0" borderId="3" xfId="0" applyFont="1" applyBorder="1"/>
    <xf numFmtId="166" fontId="29" fillId="11" borderId="3" xfId="0" applyNumberFormat="1" applyFont="1" applyFill="1" applyBorder="1"/>
    <xf numFmtId="167" fontId="36" fillId="11" borderId="3" xfId="0" applyNumberFormat="1" applyFont="1" applyFill="1" applyBorder="1"/>
    <xf numFmtId="167" fontId="29" fillId="11" borderId="3" xfId="0" applyNumberFormat="1" applyFont="1" applyFill="1" applyBorder="1"/>
    <xf numFmtId="0" fontId="2" fillId="0" borderId="1" xfId="0" applyFont="1" applyBorder="1"/>
    <xf numFmtId="166" fontId="8" fillId="3" borderId="3" xfId="0" applyNumberFormat="1" applyFont="1" applyFill="1" applyBorder="1"/>
    <xf numFmtId="2" fontId="8" fillId="3" borderId="3" xfId="0" applyNumberFormat="1" applyFont="1" applyFill="1" applyBorder="1"/>
    <xf numFmtId="166" fontId="33" fillId="3" borderId="3" xfId="1" applyNumberFormat="1" applyFont="1" applyFill="1" applyBorder="1" applyAlignment="1">
      <alignment horizontal="center"/>
    </xf>
    <xf numFmtId="173" fontId="0" fillId="0" borderId="0" xfId="0" applyNumberFormat="1"/>
    <xf numFmtId="0" fontId="20" fillId="0" borderId="0" xfId="3" applyAlignment="1" applyProtection="1">
      <alignment horizontal="left" vertical="top" wrapText="1"/>
    </xf>
    <xf numFmtId="0" fontId="2" fillId="0" borderId="0" xfId="0" applyFont="1" applyAlignment="1">
      <alignment vertical="top" wrapText="1"/>
    </xf>
    <xf numFmtId="0" fontId="22" fillId="9" borderId="2" xfId="0" applyFont="1" applyFill="1" applyBorder="1" applyAlignment="1">
      <alignment horizontal="center" wrapText="1"/>
    </xf>
    <xf numFmtId="0" fontId="22" fillId="9" borderId="1" xfId="0" applyFont="1" applyFill="1" applyBorder="1" applyAlignment="1">
      <alignment horizontal="center" wrapText="1"/>
    </xf>
    <xf numFmtId="0" fontId="4" fillId="9" borderId="0" xfId="0" applyFont="1" applyFill="1" applyAlignment="1">
      <alignment horizontal="center"/>
    </xf>
    <xf numFmtId="0" fontId="0" fillId="0" borderId="0" xfId="0" applyAlignment="1">
      <alignment horizontal="left" wrapText="1"/>
    </xf>
  </cellXfs>
  <cellStyles count="15">
    <cellStyle name="Komma" xfId="1" builtinId="3"/>
    <cellStyle name="Komma 2" xfId="2" xr:uid="{00000000-0005-0000-0000-000001000000}"/>
    <cellStyle name="Komma 2 2" xfId="12" xr:uid="{00000000-0005-0000-0000-000002000000}"/>
    <cellStyle name="Komma 3" xfId="11" xr:uid="{00000000-0005-0000-0000-000003000000}"/>
    <cellStyle name="Link" xfId="3" builtinId="8"/>
    <cellStyle name="Link 2" xfId="4" xr:uid="{00000000-0005-0000-0000-000005000000}"/>
    <cellStyle name="Link 3" xfId="5" xr:uid="{00000000-0005-0000-0000-000006000000}"/>
    <cellStyle name="Link 3 2" xfId="13" xr:uid="{00000000-0005-0000-0000-000007000000}"/>
    <cellStyle name="Normal" xfId="0" builtinId="0"/>
    <cellStyle name="Normal 2" xfId="6" xr:uid="{00000000-0005-0000-0000-000009000000}"/>
    <cellStyle name="Normal 2 2" xfId="14" xr:uid="{00000000-0005-0000-0000-00000A000000}"/>
    <cellStyle name="Normal 3" xfId="7" xr:uid="{00000000-0005-0000-0000-00000B000000}"/>
    <cellStyle name="Normal 5" xfId="8" xr:uid="{00000000-0005-0000-0000-00000C000000}"/>
    <cellStyle name="Procent" xfId="9" builtinId="5"/>
    <cellStyle name="Procent 2" xfId="10" xr:uid="{00000000-0005-0000-0000-00000E000000}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0.0%"/>
      <fill>
        <patternFill patternType="lightDown">
          <fgColor rgb="FFFF0000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0.0%"/>
      <fill>
        <patternFill patternType="lightDown">
          <fgColor rgb="FFFF0000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0.0%"/>
      <fill>
        <patternFill patternType="lightDown">
          <fgColor rgb="FFFF0000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0.0%"/>
      <fill>
        <patternFill patternType="lightDown">
          <fgColor rgb="FFFF0000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0.0%"/>
      <fill>
        <patternFill patternType="lightDown">
          <fgColor rgb="FFFF0000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0.0"/>
      <fill>
        <patternFill patternType="lightDown">
          <fgColor rgb="FFFF0000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lightDown">
          <fgColor rgb="FFFF0000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numFmt numFmtId="166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15</xdr:row>
      <xdr:rowOff>47626</xdr:rowOff>
    </xdr:from>
    <xdr:to>
      <xdr:col>4</xdr:col>
      <xdr:colOff>333375</xdr:colOff>
      <xdr:row>31</xdr:row>
      <xdr:rowOff>57150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85725" y="2352676"/>
          <a:ext cx="6315075" cy="260032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Beregning af omkostningsindekset:</a:t>
          </a:r>
          <a:endParaRPr lang="da-DK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a-DK" sz="9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900" b="0" i="0" u="none" strike="noStrike" baseline="0">
              <a:solidFill>
                <a:schemeClr val="tx1"/>
              </a:solidFill>
              <a:latin typeface="Arial"/>
              <a:cs typeface="Arial"/>
            </a:rPr>
            <a:t>- Basis 123,2 for januar 2020. Basis starter på 123,2, da indekset er regnet på baggrund af indeks for </a:t>
          </a:r>
          <a:r>
            <a:rPr lang="da-DK" sz="900" b="1" i="0" u="none" strike="noStrike" baseline="0">
              <a:solidFill>
                <a:schemeClr val="tx1"/>
              </a:solidFill>
              <a:latin typeface="Arial"/>
              <a:cs typeface="Arial"/>
            </a:rPr>
            <a:t>diesel</a:t>
          </a:r>
        </a:p>
        <a:p>
          <a:pPr algn="l" rtl="0">
            <a:defRPr sz="1000"/>
          </a:pPr>
          <a:endParaRPr lang="da-DK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Eksempel:</a:t>
          </a:r>
        </a:p>
        <a:p>
          <a:pPr algn="l" rtl="0">
            <a:defRPr sz="1000"/>
          </a:pPr>
          <a:endParaRPr lang="da-DK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 </a:t>
          </a:r>
        </a:p>
        <a:p>
          <a:pPr algn="l" rtl="0">
            <a:defRPr sz="1000"/>
          </a:pPr>
          <a:r>
            <a:rPr lang="da-DK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+ (Procentvis ændring i lønindeks x 62,4 pct.) </a:t>
          </a:r>
        </a:p>
        <a:p>
          <a:pPr algn="l" rtl="0">
            <a:defRPr sz="1000"/>
          </a:pPr>
          <a:r>
            <a:rPr lang="da-DK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+ (Procentvis ændring i RMV indeks x 21,8 pct.) </a:t>
          </a:r>
        </a:p>
        <a:p>
          <a:pPr algn="l" rtl="0">
            <a:defRPr sz="1000"/>
          </a:pPr>
          <a:r>
            <a:rPr lang="da-DK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+ (Procentvis ændring i forbrugerindeks x 7,6 pct.)  etc.</a:t>
          </a:r>
        </a:p>
        <a:p>
          <a:pPr algn="l" rtl="0">
            <a:defRPr sz="1000"/>
          </a:pPr>
          <a:endParaRPr lang="da-DK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Det vil sige, at den procentvise ændring i hvert indeks (fra periode til periode) ganges med vægtningen (i pct.)</a:t>
          </a:r>
        </a:p>
        <a:p>
          <a:pPr algn="l" rtl="0">
            <a:defRPr sz="1000"/>
          </a:pPr>
          <a:endParaRPr lang="da-DK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Forskydning:</a:t>
          </a:r>
        </a:p>
        <a:p>
          <a:pPr algn="l" rtl="0">
            <a:defRPr sz="1000"/>
          </a:pPr>
          <a:r>
            <a:rPr lang="da-DK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Omkostningsindekset for en bestemt måned beregnes på basis af delindekset for 2 måneder tidligere, pånær lønindekset, der er forskudt 6 måneder. Dette betyder eksempelvis, at omkostningsindekset for april baseres på delindeks fra februar - dog lønindeks fra K4 året før.</a:t>
          </a:r>
        </a:p>
      </xdr:txBody>
    </xdr:sp>
    <xdr:clientData/>
  </xdr:twoCellAnchor>
  <xdr:twoCellAnchor>
    <xdr:from>
      <xdr:col>0</xdr:col>
      <xdr:colOff>85725</xdr:colOff>
      <xdr:row>42</xdr:row>
      <xdr:rowOff>104775</xdr:rowOff>
    </xdr:from>
    <xdr:to>
      <xdr:col>4</xdr:col>
      <xdr:colOff>321885</xdr:colOff>
      <xdr:row>53</xdr:row>
      <xdr:rowOff>76200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85725" y="7267575"/>
          <a:ext cx="6305550" cy="1752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Reelle vægte:</a:t>
          </a:r>
          <a:endParaRPr lang="da-DK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a-DK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Udgangspunktet er de basisvægte, der er fastlagt for fordelingen af omkostninger ved busdrift:Indeks: Celle C184 til Celle G184.</a:t>
          </a:r>
        </a:p>
        <a:p>
          <a:pPr algn="l" rtl="0">
            <a:defRPr sz="1000"/>
          </a:pPr>
          <a:endParaRPr lang="da-DK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900" b="0" i="0" u="none" strike="noStrike" baseline="0">
              <a:solidFill>
                <a:schemeClr val="tx1"/>
              </a:solidFill>
              <a:latin typeface="Arial"/>
              <a:cs typeface="Arial"/>
            </a:rPr>
            <a:t>Basis er 1. januar 2020</a:t>
          </a:r>
          <a:r>
            <a:rPr lang="da-DK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endParaRPr lang="da-DK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"Reelle vægte" er et udtryk for, hvordan udviklingen i de fem delindeks (Løn, RME, Forbrug, Maskiner og Rente) giver forskydninger i, hvor stor en andel, den enkelte omkostning udgør af de samlede omkostninger ved busdrift.</a:t>
          </a:r>
        </a:p>
        <a:p>
          <a:pPr algn="l" rtl="0">
            <a:defRPr sz="1000"/>
          </a:pPr>
          <a:endParaRPr lang="da-DK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Den reele vægt for det enkelte delindeks beregnes således:</a:t>
          </a:r>
        </a:p>
        <a:p>
          <a:pPr algn="l" rtl="0">
            <a:defRPr sz="1000"/>
          </a:pPr>
          <a:endParaRPr lang="da-DK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Værdi af delindeks i dag / Værdi af delindeks i basis x Basisvægt / Værdi af samlet indeks i dag x 100</a:t>
          </a:r>
        </a:p>
        <a:p>
          <a:pPr algn="l" rtl="0">
            <a:defRPr sz="1000"/>
          </a:pPr>
          <a:endParaRPr lang="da-DK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76200</xdr:colOff>
      <xdr:row>31</xdr:row>
      <xdr:rowOff>104775</xdr:rowOff>
    </xdr:from>
    <xdr:to>
      <xdr:col>4</xdr:col>
      <xdr:colOff>321899</xdr:colOff>
      <xdr:row>42</xdr:row>
      <xdr:rowOff>66674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76200" y="5000625"/>
          <a:ext cx="6315075" cy="174307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Skøn:</a:t>
          </a:r>
          <a:endParaRPr lang="da-DK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a-DK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De fremadrettede skøn beregnes på baggrund af den historiske udvikling. Dog fastlåses brændstofindeks og rente til senest kendte værdi.</a:t>
          </a:r>
        </a:p>
        <a:p>
          <a:pPr algn="l" rtl="0">
            <a:defRPr sz="1000"/>
          </a:pPr>
          <a:endParaRPr lang="da-DK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Løn: </a:t>
          </a:r>
          <a:r>
            <a:rPr lang="da-DK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Gennemsnitlig ændring fra forrige kalenderår til sidste kalenderår divideres med 4 for at få en ca. kvartalsmæssig udviklingsfaktor. Denne anvedes herefter på sidstkendte indeks til fremskrivning.</a:t>
          </a:r>
        </a:p>
        <a:p>
          <a:pPr algn="l" rtl="0">
            <a:defRPr sz="1000"/>
          </a:pPr>
          <a:endParaRPr lang="da-DK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Maskin- samt forbrugsindeks:  </a:t>
          </a:r>
          <a:r>
            <a:rPr lang="da-DK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Gennemsnitlig ændring fra forrige kalenderår til sidste kalenderår divideres med 12 for tilnærmelsesvis at få en månedlig udviklingsfaktor. Denne anvedes herefter på sidstkendte indeks til fremskrivning.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62" displayName="Tabel62" ref="A3:K257" totalsRowShown="0" headerRowDxfId="14">
  <autoFilter ref="A3:K257" xr:uid="{00000000-0009-0000-0100-000001000000}">
    <filterColumn colId="0">
      <filters>
        <filter val="2022"/>
        <filter val="2023"/>
        <filter val="2024"/>
        <filter val="2025"/>
        <filter val="År"/>
      </filters>
    </filterColumn>
  </autoFilter>
  <tableColumns count="11">
    <tableColumn id="1" xr3:uid="{00000000-0010-0000-0000-000001000000}" name="År"/>
    <tableColumn id="2" xr3:uid="{00000000-0010-0000-0000-000002000000}" name="Måned"/>
    <tableColumn id="3" xr3:uid="{00000000-0010-0000-0000-000003000000}" name="Løn"/>
    <tableColumn id="4" xr3:uid="{00000000-0010-0000-0000-000004000000}" name="Diesel"/>
    <tableColumn id="5" xr3:uid="{00000000-0010-0000-0000-000005000000}" name="Forbrug"/>
    <tableColumn id="6" xr3:uid="{00000000-0010-0000-0000-000006000000}" name="Maskiner" dataDxfId="13"/>
    <tableColumn id="7" xr3:uid="{00000000-0010-0000-0000-000007000000}" name="Rente"/>
    <tableColumn id="8" xr3:uid="{00000000-0010-0000-0000-000008000000}" name="Indeks" dataDxfId="12"/>
    <tableColumn id="9" xr3:uid="{00000000-0010-0000-0000-000009000000}" name="∆ Måned"/>
    <tableColumn id="10" xr3:uid="{00000000-0010-0000-0000-00000A000000}" name="Note"/>
    <tableColumn id="11" xr3:uid="{00000000-0010-0000-0000-00000B000000}" name="Kolonne1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7" displayName="Tabel7" ref="A3:H255" totalsRowShown="0" headerRowDxfId="11">
  <autoFilter ref="A3:H255" xr:uid="{00000000-0009-0000-0100-000002000000}">
    <filterColumn colId="0">
      <filters>
        <filter val="2022"/>
        <filter val="2023"/>
        <filter val="2024"/>
        <filter val="2025"/>
      </filters>
    </filterColumn>
  </autoFilter>
  <tableColumns count="8">
    <tableColumn id="1" xr3:uid="{00000000-0010-0000-0100-000001000000}" name="År"/>
    <tableColumn id="2" xr3:uid="{00000000-0010-0000-0100-000002000000}" name="Måned"/>
    <tableColumn id="3" xr3:uid="{00000000-0010-0000-0100-000003000000}" name="Løn"/>
    <tableColumn id="4" xr3:uid="{00000000-0010-0000-0100-000004000000}" name="RME"/>
    <tableColumn id="5" xr3:uid="{00000000-0010-0000-0100-000005000000}" name="Forbrug"/>
    <tableColumn id="6" xr3:uid="{00000000-0010-0000-0100-000006000000}" name="Maskiner"/>
    <tableColumn id="7" xr3:uid="{00000000-0010-0000-0100-000007000000}" name="Rente"/>
    <tableColumn id="8" xr3:uid="{00000000-0010-0000-0100-000008000000}" name="I alt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2000000}" name="Tabel20" displayName="Tabel20" ref="A2:H194" totalsRowShown="0" headerRowDxfId="10" dataDxfId="9" tableBorderDxfId="8">
  <autoFilter ref="A2:H194" xr:uid="{00000000-0009-0000-0100-000014000000}">
    <filterColumn colId="0">
      <filters>
        <filter val="2018"/>
        <filter val="2019"/>
      </filters>
    </filterColumn>
  </autoFilter>
  <tableColumns count="8">
    <tableColumn id="1" xr3:uid="{00000000-0010-0000-0200-000001000000}" name="År" dataDxfId="7">
      <calculatedColumnFormula>A2</calculatedColumnFormula>
    </tableColumn>
    <tableColumn id="2" xr3:uid="{00000000-0010-0000-0200-000002000000}" name="Måned" dataDxfId="6"/>
    <tableColumn id="3" xr3:uid="{00000000-0010-0000-0200-000003000000}" name="Indeks" dataDxfId="5"/>
    <tableColumn id="4" xr3:uid="{00000000-0010-0000-0200-000004000000}" name="∆ Måned" dataDxfId="4">
      <calculatedColumnFormula>(C3-C2)/C2</calculatedColumnFormula>
    </tableColumn>
    <tableColumn id="5" xr3:uid="{00000000-0010-0000-0200-000005000000}" name="∆ Kvartal" dataDxfId="3"/>
    <tableColumn id="9" xr3:uid="{00000000-0010-0000-0200-000009000000}" name="∆ Halvår" dataDxfId="2"/>
    <tableColumn id="6" xr3:uid="{00000000-0010-0000-0200-000006000000}" name="∆ År" dataDxfId="1"/>
    <tableColumn id="7" xr3:uid="{00000000-0010-0000-0200-000007000000}" name="Kolonne1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venskkollektivtrafik.se/partnersamverkan/index/drivmedelsindex-rme/" TargetMode="External"/><Relationship Id="rId7" Type="http://schemas.openxmlformats.org/officeDocument/2006/relationships/comments" Target="../comments2.xml"/><Relationship Id="rId2" Type="http://schemas.openxmlformats.org/officeDocument/2006/relationships/hyperlink" Target="http://www.nationalbanken.dk/da/statistik/valutakurs/Sider/default.aspx" TargetMode="External"/><Relationship Id="rId1" Type="http://schemas.openxmlformats.org/officeDocument/2006/relationships/hyperlink" Target="http://www.svenskkollektivtrafik.se/partnersamverkan/index/hvo-index/" TargetMode="External"/><Relationship Id="rId6" Type="http://schemas.openxmlformats.org/officeDocument/2006/relationships/vmlDrawing" Target="../drawings/vmlDrawing3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km.dk/skattetal/satser/satser-og-beloebsgraenser/co2-afgiftsloven" TargetMode="External"/><Relationship Id="rId2" Type="http://schemas.openxmlformats.org/officeDocument/2006/relationships/hyperlink" Target="https://www.skm.dk/skattetal/satser/satser-og-beloebsgraenser/kvaelstofoxiderafgiftsloven-nox" TargetMode="External"/><Relationship Id="rId1" Type="http://schemas.openxmlformats.org/officeDocument/2006/relationships/hyperlink" Target="https://skat.dk/SKAT.aspx?oid=2060519" TargetMode="External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CZ264"/>
  <sheetViews>
    <sheetView tabSelected="1" topLeftCell="A223" zoomScaleNormal="100" workbookViewId="0">
      <selection activeCell="Q232" sqref="Q232"/>
    </sheetView>
  </sheetViews>
  <sheetFormatPr defaultRowHeight="12.75" x14ac:dyDescent="0.2"/>
  <cols>
    <col min="1" max="1" width="5.5703125" customWidth="1"/>
    <col min="2" max="2" width="9.5703125" customWidth="1"/>
    <col min="3" max="3" width="8.5703125" customWidth="1"/>
    <col min="4" max="4" width="9.5703125" bestFit="1" customWidth="1"/>
    <col min="5" max="5" width="10.140625" customWidth="1"/>
    <col min="6" max="6" width="11.140625" customWidth="1"/>
    <col min="7" max="7" width="8.140625" customWidth="1"/>
    <col min="8" max="8" width="10.42578125" style="38" customWidth="1"/>
    <col min="9" max="9" width="10.85546875" hidden="1" customWidth="1"/>
    <col min="10" max="10" width="8.42578125" customWidth="1"/>
    <col min="15" max="15" width="9.140625" customWidth="1"/>
    <col min="257" max="257" width="5.5703125" customWidth="1"/>
    <col min="258" max="258" width="9.5703125" customWidth="1"/>
    <col min="259" max="259" width="8.5703125" customWidth="1"/>
    <col min="260" max="260" width="9.5703125" bestFit="1" customWidth="1"/>
    <col min="261" max="261" width="10.140625" customWidth="1"/>
    <col min="262" max="262" width="11.140625" customWidth="1"/>
    <col min="263" max="263" width="8.140625" customWidth="1"/>
    <col min="264" max="264" width="10.42578125" customWidth="1"/>
    <col min="265" max="265" width="0" hidden="1" customWidth="1"/>
    <col min="266" max="266" width="19.5703125" customWidth="1"/>
    <col min="513" max="513" width="5.5703125" customWidth="1"/>
    <col min="514" max="514" width="9.5703125" customWidth="1"/>
    <col min="515" max="515" width="8.5703125" customWidth="1"/>
    <col min="516" max="516" width="9.5703125" bestFit="1" customWidth="1"/>
    <col min="517" max="517" width="10.140625" customWidth="1"/>
    <col min="518" max="518" width="11.140625" customWidth="1"/>
    <col min="519" max="519" width="8.140625" customWidth="1"/>
    <col min="520" max="520" width="10.42578125" customWidth="1"/>
    <col min="521" max="521" width="0" hidden="1" customWidth="1"/>
    <col min="522" max="522" width="19.5703125" customWidth="1"/>
    <col min="769" max="769" width="5.5703125" customWidth="1"/>
    <col min="770" max="770" width="9.5703125" customWidth="1"/>
    <col min="771" max="771" width="8.5703125" customWidth="1"/>
    <col min="772" max="772" width="9.5703125" bestFit="1" customWidth="1"/>
    <col min="773" max="773" width="10.140625" customWidth="1"/>
    <col min="774" max="774" width="11.140625" customWidth="1"/>
    <col min="775" max="775" width="8.140625" customWidth="1"/>
    <col min="776" max="776" width="10.42578125" customWidth="1"/>
    <col min="777" max="777" width="0" hidden="1" customWidth="1"/>
    <col min="778" max="778" width="19.5703125" customWidth="1"/>
    <col min="1025" max="1025" width="5.5703125" customWidth="1"/>
    <col min="1026" max="1026" width="9.5703125" customWidth="1"/>
    <col min="1027" max="1027" width="8.5703125" customWidth="1"/>
    <col min="1028" max="1028" width="9.5703125" bestFit="1" customWidth="1"/>
    <col min="1029" max="1029" width="10.140625" customWidth="1"/>
    <col min="1030" max="1030" width="11.140625" customWidth="1"/>
    <col min="1031" max="1031" width="8.140625" customWidth="1"/>
    <col min="1032" max="1032" width="10.42578125" customWidth="1"/>
    <col min="1033" max="1033" width="0" hidden="1" customWidth="1"/>
    <col min="1034" max="1034" width="19.5703125" customWidth="1"/>
    <col min="1281" max="1281" width="5.5703125" customWidth="1"/>
    <col min="1282" max="1282" width="9.5703125" customWidth="1"/>
    <col min="1283" max="1283" width="8.5703125" customWidth="1"/>
    <col min="1284" max="1284" width="9.5703125" bestFit="1" customWidth="1"/>
    <col min="1285" max="1285" width="10.140625" customWidth="1"/>
    <col min="1286" max="1286" width="11.140625" customWidth="1"/>
    <col min="1287" max="1287" width="8.140625" customWidth="1"/>
    <col min="1288" max="1288" width="10.42578125" customWidth="1"/>
    <col min="1289" max="1289" width="0" hidden="1" customWidth="1"/>
    <col min="1290" max="1290" width="19.5703125" customWidth="1"/>
    <col min="1537" max="1537" width="5.5703125" customWidth="1"/>
    <col min="1538" max="1538" width="9.5703125" customWidth="1"/>
    <col min="1539" max="1539" width="8.5703125" customWidth="1"/>
    <col min="1540" max="1540" width="9.5703125" bestFit="1" customWidth="1"/>
    <col min="1541" max="1541" width="10.140625" customWidth="1"/>
    <col min="1542" max="1542" width="11.140625" customWidth="1"/>
    <col min="1543" max="1543" width="8.140625" customWidth="1"/>
    <col min="1544" max="1544" width="10.42578125" customWidth="1"/>
    <col min="1545" max="1545" width="0" hidden="1" customWidth="1"/>
    <col min="1546" max="1546" width="19.5703125" customWidth="1"/>
    <col min="1793" max="1793" width="5.5703125" customWidth="1"/>
    <col min="1794" max="1794" width="9.5703125" customWidth="1"/>
    <col min="1795" max="1795" width="8.5703125" customWidth="1"/>
    <col min="1796" max="1796" width="9.5703125" bestFit="1" customWidth="1"/>
    <col min="1797" max="1797" width="10.140625" customWidth="1"/>
    <col min="1798" max="1798" width="11.140625" customWidth="1"/>
    <col min="1799" max="1799" width="8.140625" customWidth="1"/>
    <col min="1800" max="1800" width="10.42578125" customWidth="1"/>
    <col min="1801" max="1801" width="0" hidden="1" customWidth="1"/>
    <col min="1802" max="1802" width="19.5703125" customWidth="1"/>
    <col min="2049" max="2049" width="5.5703125" customWidth="1"/>
    <col min="2050" max="2050" width="9.5703125" customWidth="1"/>
    <col min="2051" max="2051" width="8.5703125" customWidth="1"/>
    <col min="2052" max="2052" width="9.5703125" bestFit="1" customWidth="1"/>
    <col min="2053" max="2053" width="10.140625" customWidth="1"/>
    <col min="2054" max="2054" width="11.140625" customWidth="1"/>
    <col min="2055" max="2055" width="8.140625" customWidth="1"/>
    <col min="2056" max="2056" width="10.42578125" customWidth="1"/>
    <col min="2057" max="2057" width="0" hidden="1" customWidth="1"/>
    <col min="2058" max="2058" width="19.5703125" customWidth="1"/>
    <col min="2305" max="2305" width="5.5703125" customWidth="1"/>
    <col min="2306" max="2306" width="9.5703125" customWidth="1"/>
    <col min="2307" max="2307" width="8.5703125" customWidth="1"/>
    <col min="2308" max="2308" width="9.5703125" bestFit="1" customWidth="1"/>
    <col min="2309" max="2309" width="10.140625" customWidth="1"/>
    <col min="2310" max="2310" width="11.140625" customWidth="1"/>
    <col min="2311" max="2311" width="8.140625" customWidth="1"/>
    <col min="2312" max="2312" width="10.42578125" customWidth="1"/>
    <col min="2313" max="2313" width="0" hidden="1" customWidth="1"/>
    <col min="2314" max="2314" width="19.5703125" customWidth="1"/>
    <col min="2561" max="2561" width="5.5703125" customWidth="1"/>
    <col min="2562" max="2562" width="9.5703125" customWidth="1"/>
    <col min="2563" max="2563" width="8.5703125" customWidth="1"/>
    <col min="2564" max="2564" width="9.5703125" bestFit="1" customWidth="1"/>
    <col min="2565" max="2565" width="10.140625" customWidth="1"/>
    <col min="2566" max="2566" width="11.140625" customWidth="1"/>
    <col min="2567" max="2567" width="8.140625" customWidth="1"/>
    <col min="2568" max="2568" width="10.42578125" customWidth="1"/>
    <col min="2569" max="2569" width="0" hidden="1" customWidth="1"/>
    <col min="2570" max="2570" width="19.5703125" customWidth="1"/>
    <col min="2817" max="2817" width="5.5703125" customWidth="1"/>
    <col min="2818" max="2818" width="9.5703125" customWidth="1"/>
    <col min="2819" max="2819" width="8.5703125" customWidth="1"/>
    <col min="2820" max="2820" width="9.5703125" bestFit="1" customWidth="1"/>
    <col min="2821" max="2821" width="10.140625" customWidth="1"/>
    <col min="2822" max="2822" width="11.140625" customWidth="1"/>
    <col min="2823" max="2823" width="8.140625" customWidth="1"/>
    <col min="2824" max="2824" width="10.42578125" customWidth="1"/>
    <col min="2825" max="2825" width="0" hidden="1" customWidth="1"/>
    <col min="2826" max="2826" width="19.5703125" customWidth="1"/>
    <col min="3073" max="3073" width="5.5703125" customWidth="1"/>
    <col min="3074" max="3074" width="9.5703125" customWidth="1"/>
    <col min="3075" max="3075" width="8.5703125" customWidth="1"/>
    <col min="3076" max="3076" width="9.5703125" bestFit="1" customWidth="1"/>
    <col min="3077" max="3077" width="10.140625" customWidth="1"/>
    <col min="3078" max="3078" width="11.140625" customWidth="1"/>
    <col min="3079" max="3079" width="8.140625" customWidth="1"/>
    <col min="3080" max="3080" width="10.42578125" customWidth="1"/>
    <col min="3081" max="3081" width="0" hidden="1" customWidth="1"/>
    <col min="3082" max="3082" width="19.5703125" customWidth="1"/>
    <col min="3329" max="3329" width="5.5703125" customWidth="1"/>
    <col min="3330" max="3330" width="9.5703125" customWidth="1"/>
    <col min="3331" max="3331" width="8.5703125" customWidth="1"/>
    <col min="3332" max="3332" width="9.5703125" bestFit="1" customWidth="1"/>
    <col min="3333" max="3333" width="10.140625" customWidth="1"/>
    <col min="3334" max="3334" width="11.140625" customWidth="1"/>
    <col min="3335" max="3335" width="8.140625" customWidth="1"/>
    <col min="3336" max="3336" width="10.42578125" customWidth="1"/>
    <col min="3337" max="3337" width="0" hidden="1" customWidth="1"/>
    <col min="3338" max="3338" width="19.5703125" customWidth="1"/>
    <col min="3585" max="3585" width="5.5703125" customWidth="1"/>
    <col min="3586" max="3586" width="9.5703125" customWidth="1"/>
    <col min="3587" max="3587" width="8.5703125" customWidth="1"/>
    <col min="3588" max="3588" width="9.5703125" bestFit="1" customWidth="1"/>
    <col min="3589" max="3589" width="10.140625" customWidth="1"/>
    <col min="3590" max="3590" width="11.140625" customWidth="1"/>
    <col min="3591" max="3591" width="8.140625" customWidth="1"/>
    <col min="3592" max="3592" width="10.42578125" customWidth="1"/>
    <col min="3593" max="3593" width="0" hidden="1" customWidth="1"/>
    <col min="3594" max="3594" width="19.5703125" customWidth="1"/>
    <col min="3841" max="3841" width="5.5703125" customWidth="1"/>
    <col min="3842" max="3842" width="9.5703125" customWidth="1"/>
    <col min="3843" max="3843" width="8.5703125" customWidth="1"/>
    <col min="3844" max="3844" width="9.5703125" bestFit="1" customWidth="1"/>
    <col min="3845" max="3845" width="10.140625" customWidth="1"/>
    <col min="3846" max="3846" width="11.140625" customWidth="1"/>
    <col min="3847" max="3847" width="8.140625" customWidth="1"/>
    <col min="3848" max="3848" width="10.42578125" customWidth="1"/>
    <col min="3849" max="3849" width="0" hidden="1" customWidth="1"/>
    <col min="3850" max="3850" width="19.5703125" customWidth="1"/>
    <col min="4097" max="4097" width="5.5703125" customWidth="1"/>
    <col min="4098" max="4098" width="9.5703125" customWidth="1"/>
    <col min="4099" max="4099" width="8.5703125" customWidth="1"/>
    <col min="4100" max="4100" width="9.5703125" bestFit="1" customWidth="1"/>
    <col min="4101" max="4101" width="10.140625" customWidth="1"/>
    <col min="4102" max="4102" width="11.140625" customWidth="1"/>
    <col min="4103" max="4103" width="8.140625" customWidth="1"/>
    <col min="4104" max="4104" width="10.42578125" customWidth="1"/>
    <col min="4105" max="4105" width="0" hidden="1" customWidth="1"/>
    <col min="4106" max="4106" width="19.5703125" customWidth="1"/>
    <col min="4353" max="4353" width="5.5703125" customWidth="1"/>
    <col min="4354" max="4354" width="9.5703125" customWidth="1"/>
    <col min="4355" max="4355" width="8.5703125" customWidth="1"/>
    <col min="4356" max="4356" width="9.5703125" bestFit="1" customWidth="1"/>
    <col min="4357" max="4357" width="10.140625" customWidth="1"/>
    <col min="4358" max="4358" width="11.140625" customWidth="1"/>
    <col min="4359" max="4359" width="8.140625" customWidth="1"/>
    <col min="4360" max="4360" width="10.42578125" customWidth="1"/>
    <col min="4361" max="4361" width="0" hidden="1" customWidth="1"/>
    <col min="4362" max="4362" width="19.5703125" customWidth="1"/>
    <col min="4609" max="4609" width="5.5703125" customWidth="1"/>
    <col min="4610" max="4610" width="9.5703125" customWidth="1"/>
    <col min="4611" max="4611" width="8.5703125" customWidth="1"/>
    <col min="4612" max="4612" width="9.5703125" bestFit="1" customWidth="1"/>
    <col min="4613" max="4613" width="10.140625" customWidth="1"/>
    <col min="4614" max="4614" width="11.140625" customWidth="1"/>
    <col min="4615" max="4615" width="8.140625" customWidth="1"/>
    <col min="4616" max="4616" width="10.42578125" customWidth="1"/>
    <col min="4617" max="4617" width="0" hidden="1" customWidth="1"/>
    <col min="4618" max="4618" width="19.5703125" customWidth="1"/>
    <col min="4865" max="4865" width="5.5703125" customWidth="1"/>
    <col min="4866" max="4866" width="9.5703125" customWidth="1"/>
    <col min="4867" max="4867" width="8.5703125" customWidth="1"/>
    <col min="4868" max="4868" width="9.5703125" bestFit="1" customWidth="1"/>
    <col min="4869" max="4869" width="10.140625" customWidth="1"/>
    <col min="4870" max="4870" width="11.140625" customWidth="1"/>
    <col min="4871" max="4871" width="8.140625" customWidth="1"/>
    <col min="4872" max="4872" width="10.42578125" customWidth="1"/>
    <col min="4873" max="4873" width="0" hidden="1" customWidth="1"/>
    <col min="4874" max="4874" width="19.5703125" customWidth="1"/>
    <col min="5121" max="5121" width="5.5703125" customWidth="1"/>
    <col min="5122" max="5122" width="9.5703125" customWidth="1"/>
    <col min="5123" max="5123" width="8.5703125" customWidth="1"/>
    <col min="5124" max="5124" width="9.5703125" bestFit="1" customWidth="1"/>
    <col min="5125" max="5125" width="10.140625" customWidth="1"/>
    <col min="5126" max="5126" width="11.140625" customWidth="1"/>
    <col min="5127" max="5127" width="8.140625" customWidth="1"/>
    <col min="5128" max="5128" width="10.42578125" customWidth="1"/>
    <col min="5129" max="5129" width="0" hidden="1" customWidth="1"/>
    <col min="5130" max="5130" width="19.5703125" customWidth="1"/>
    <col min="5377" max="5377" width="5.5703125" customWidth="1"/>
    <col min="5378" max="5378" width="9.5703125" customWidth="1"/>
    <col min="5379" max="5379" width="8.5703125" customWidth="1"/>
    <col min="5380" max="5380" width="9.5703125" bestFit="1" customWidth="1"/>
    <col min="5381" max="5381" width="10.140625" customWidth="1"/>
    <col min="5382" max="5382" width="11.140625" customWidth="1"/>
    <col min="5383" max="5383" width="8.140625" customWidth="1"/>
    <col min="5384" max="5384" width="10.42578125" customWidth="1"/>
    <col min="5385" max="5385" width="0" hidden="1" customWidth="1"/>
    <col min="5386" max="5386" width="19.5703125" customWidth="1"/>
    <col min="5633" max="5633" width="5.5703125" customWidth="1"/>
    <col min="5634" max="5634" width="9.5703125" customWidth="1"/>
    <col min="5635" max="5635" width="8.5703125" customWidth="1"/>
    <col min="5636" max="5636" width="9.5703125" bestFit="1" customWidth="1"/>
    <col min="5637" max="5637" width="10.140625" customWidth="1"/>
    <col min="5638" max="5638" width="11.140625" customWidth="1"/>
    <col min="5639" max="5639" width="8.140625" customWidth="1"/>
    <col min="5640" max="5640" width="10.42578125" customWidth="1"/>
    <col min="5641" max="5641" width="0" hidden="1" customWidth="1"/>
    <col min="5642" max="5642" width="19.5703125" customWidth="1"/>
    <col min="5889" max="5889" width="5.5703125" customWidth="1"/>
    <col min="5890" max="5890" width="9.5703125" customWidth="1"/>
    <col min="5891" max="5891" width="8.5703125" customWidth="1"/>
    <col min="5892" max="5892" width="9.5703125" bestFit="1" customWidth="1"/>
    <col min="5893" max="5893" width="10.140625" customWidth="1"/>
    <col min="5894" max="5894" width="11.140625" customWidth="1"/>
    <col min="5895" max="5895" width="8.140625" customWidth="1"/>
    <col min="5896" max="5896" width="10.42578125" customWidth="1"/>
    <col min="5897" max="5897" width="0" hidden="1" customWidth="1"/>
    <col min="5898" max="5898" width="19.5703125" customWidth="1"/>
    <col min="6145" max="6145" width="5.5703125" customWidth="1"/>
    <col min="6146" max="6146" width="9.5703125" customWidth="1"/>
    <col min="6147" max="6147" width="8.5703125" customWidth="1"/>
    <col min="6148" max="6148" width="9.5703125" bestFit="1" customWidth="1"/>
    <col min="6149" max="6149" width="10.140625" customWidth="1"/>
    <col min="6150" max="6150" width="11.140625" customWidth="1"/>
    <col min="6151" max="6151" width="8.140625" customWidth="1"/>
    <col min="6152" max="6152" width="10.42578125" customWidth="1"/>
    <col min="6153" max="6153" width="0" hidden="1" customWidth="1"/>
    <col min="6154" max="6154" width="19.5703125" customWidth="1"/>
    <col min="6401" max="6401" width="5.5703125" customWidth="1"/>
    <col min="6402" max="6402" width="9.5703125" customWidth="1"/>
    <col min="6403" max="6403" width="8.5703125" customWidth="1"/>
    <col min="6404" max="6404" width="9.5703125" bestFit="1" customWidth="1"/>
    <col min="6405" max="6405" width="10.140625" customWidth="1"/>
    <col min="6406" max="6406" width="11.140625" customWidth="1"/>
    <col min="6407" max="6407" width="8.140625" customWidth="1"/>
    <col min="6408" max="6408" width="10.42578125" customWidth="1"/>
    <col min="6409" max="6409" width="0" hidden="1" customWidth="1"/>
    <col min="6410" max="6410" width="19.5703125" customWidth="1"/>
    <col min="6657" max="6657" width="5.5703125" customWidth="1"/>
    <col min="6658" max="6658" width="9.5703125" customWidth="1"/>
    <col min="6659" max="6659" width="8.5703125" customWidth="1"/>
    <col min="6660" max="6660" width="9.5703125" bestFit="1" customWidth="1"/>
    <col min="6661" max="6661" width="10.140625" customWidth="1"/>
    <col min="6662" max="6662" width="11.140625" customWidth="1"/>
    <col min="6663" max="6663" width="8.140625" customWidth="1"/>
    <col min="6664" max="6664" width="10.42578125" customWidth="1"/>
    <col min="6665" max="6665" width="0" hidden="1" customWidth="1"/>
    <col min="6666" max="6666" width="19.5703125" customWidth="1"/>
    <col min="6913" max="6913" width="5.5703125" customWidth="1"/>
    <col min="6914" max="6914" width="9.5703125" customWidth="1"/>
    <col min="6915" max="6915" width="8.5703125" customWidth="1"/>
    <col min="6916" max="6916" width="9.5703125" bestFit="1" customWidth="1"/>
    <col min="6917" max="6917" width="10.140625" customWidth="1"/>
    <col min="6918" max="6918" width="11.140625" customWidth="1"/>
    <col min="6919" max="6919" width="8.140625" customWidth="1"/>
    <col min="6920" max="6920" width="10.42578125" customWidth="1"/>
    <col min="6921" max="6921" width="0" hidden="1" customWidth="1"/>
    <col min="6922" max="6922" width="19.5703125" customWidth="1"/>
    <col min="7169" max="7169" width="5.5703125" customWidth="1"/>
    <col min="7170" max="7170" width="9.5703125" customWidth="1"/>
    <col min="7171" max="7171" width="8.5703125" customWidth="1"/>
    <col min="7172" max="7172" width="9.5703125" bestFit="1" customWidth="1"/>
    <col min="7173" max="7173" width="10.140625" customWidth="1"/>
    <col min="7174" max="7174" width="11.140625" customWidth="1"/>
    <col min="7175" max="7175" width="8.140625" customWidth="1"/>
    <col min="7176" max="7176" width="10.42578125" customWidth="1"/>
    <col min="7177" max="7177" width="0" hidden="1" customWidth="1"/>
    <col min="7178" max="7178" width="19.5703125" customWidth="1"/>
    <col min="7425" max="7425" width="5.5703125" customWidth="1"/>
    <col min="7426" max="7426" width="9.5703125" customWidth="1"/>
    <col min="7427" max="7427" width="8.5703125" customWidth="1"/>
    <col min="7428" max="7428" width="9.5703125" bestFit="1" customWidth="1"/>
    <col min="7429" max="7429" width="10.140625" customWidth="1"/>
    <col min="7430" max="7430" width="11.140625" customWidth="1"/>
    <col min="7431" max="7431" width="8.140625" customWidth="1"/>
    <col min="7432" max="7432" width="10.42578125" customWidth="1"/>
    <col min="7433" max="7433" width="0" hidden="1" customWidth="1"/>
    <col min="7434" max="7434" width="19.5703125" customWidth="1"/>
    <col min="7681" max="7681" width="5.5703125" customWidth="1"/>
    <col min="7682" max="7682" width="9.5703125" customWidth="1"/>
    <col min="7683" max="7683" width="8.5703125" customWidth="1"/>
    <col min="7684" max="7684" width="9.5703125" bestFit="1" customWidth="1"/>
    <col min="7685" max="7685" width="10.140625" customWidth="1"/>
    <col min="7686" max="7686" width="11.140625" customWidth="1"/>
    <col min="7687" max="7687" width="8.140625" customWidth="1"/>
    <col min="7688" max="7688" width="10.42578125" customWidth="1"/>
    <col min="7689" max="7689" width="0" hidden="1" customWidth="1"/>
    <col min="7690" max="7690" width="19.5703125" customWidth="1"/>
    <col min="7937" max="7937" width="5.5703125" customWidth="1"/>
    <col min="7938" max="7938" width="9.5703125" customWidth="1"/>
    <col min="7939" max="7939" width="8.5703125" customWidth="1"/>
    <col min="7940" max="7940" width="9.5703125" bestFit="1" customWidth="1"/>
    <col min="7941" max="7941" width="10.140625" customWidth="1"/>
    <col min="7942" max="7942" width="11.140625" customWidth="1"/>
    <col min="7943" max="7943" width="8.140625" customWidth="1"/>
    <col min="7944" max="7944" width="10.42578125" customWidth="1"/>
    <col min="7945" max="7945" width="0" hidden="1" customWidth="1"/>
    <col min="7946" max="7946" width="19.5703125" customWidth="1"/>
    <col min="8193" max="8193" width="5.5703125" customWidth="1"/>
    <col min="8194" max="8194" width="9.5703125" customWidth="1"/>
    <col min="8195" max="8195" width="8.5703125" customWidth="1"/>
    <col min="8196" max="8196" width="9.5703125" bestFit="1" customWidth="1"/>
    <col min="8197" max="8197" width="10.140625" customWidth="1"/>
    <col min="8198" max="8198" width="11.140625" customWidth="1"/>
    <col min="8199" max="8199" width="8.140625" customWidth="1"/>
    <col min="8200" max="8200" width="10.42578125" customWidth="1"/>
    <col min="8201" max="8201" width="0" hidden="1" customWidth="1"/>
    <col min="8202" max="8202" width="19.5703125" customWidth="1"/>
    <col min="8449" max="8449" width="5.5703125" customWidth="1"/>
    <col min="8450" max="8450" width="9.5703125" customWidth="1"/>
    <col min="8451" max="8451" width="8.5703125" customWidth="1"/>
    <col min="8452" max="8452" width="9.5703125" bestFit="1" customWidth="1"/>
    <col min="8453" max="8453" width="10.140625" customWidth="1"/>
    <col min="8454" max="8454" width="11.140625" customWidth="1"/>
    <col min="8455" max="8455" width="8.140625" customWidth="1"/>
    <col min="8456" max="8456" width="10.42578125" customWidth="1"/>
    <col min="8457" max="8457" width="0" hidden="1" customWidth="1"/>
    <col min="8458" max="8458" width="19.5703125" customWidth="1"/>
    <col min="8705" max="8705" width="5.5703125" customWidth="1"/>
    <col min="8706" max="8706" width="9.5703125" customWidth="1"/>
    <col min="8707" max="8707" width="8.5703125" customWidth="1"/>
    <col min="8708" max="8708" width="9.5703125" bestFit="1" customWidth="1"/>
    <col min="8709" max="8709" width="10.140625" customWidth="1"/>
    <col min="8710" max="8710" width="11.140625" customWidth="1"/>
    <col min="8711" max="8711" width="8.140625" customWidth="1"/>
    <col min="8712" max="8712" width="10.42578125" customWidth="1"/>
    <col min="8713" max="8713" width="0" hidden="1" customWidth="1"/>
    <col min="8714" max="8714" width="19.5703125" customWidth="1"/>
    <col min="8961" max="8961" width="5.5703125" customWidth="1"/>
    <col min="8962" max="8962" width="9.5703125" customWidth="1"/>
    <col min="8963" max="8963" width="8.5703125" customWidth="1"/>
    <col min="8964" max="8964" width="9.5703125" bestFit="1" customWidth="1"/>
    <col min="8965" max="8965" width="10.140625" customWidth="1"/>
    <col min="8966" max="8966" width="11.140625" customWidth="1"/>
    <col min="8967" max="8967" width="8.140625" customWidth="1"/>
    <col min="8968" max="8968" width="10.42578125" customWidth="1"/>
    <col min="8969" max="8969" width="0" hidden="1" customWidth="1"/>
    <col min="8970" max="8970" width="19.5703125" customWidth="1"/>
    <col min="9217" max="9217" width="5.5703125" customWidth="1"/>
    <col min="9218" max="9218" width="9.5703125" customWidth="1"/>
    <col min="9219" max="9219" width="8.5703125" customWidth="1"/>
    <col min="9220" max="9220" width="9.5703125" bestFit="1" customWidth="1"/>
    <col min="9221" max="9221" width="10.140625" customWidth="1"/>
    <col min="9222" max="9222" width="11.140625" customWidth="1"/>
    <col min="9223" max="9223" width="8.140625" customWidth="1"/>
    <col min="9224" max="9224" width="10.42578125" customWidth="1"/>
    <col min="9225" max="9225" width="0" hidden="1" customWidth="1"/>
    <col min="9226" max="9226" width="19.5703125" customWidth="1"/>
    <col min="9473" max="9473" width="5.5703125" customWidth="1"/>
    <col min="9474" max="9474" width="9.5703125" customWidth="1"/>
    <col min="9475" max="9475" width="8.5703125" customWidth="1"/>
    <col min="9476" max="9476" width="9.5703125" bestFit="1" customWidth="1"/>
    <col min="9477" max="9477" width="10.140625" customWidth="1"/>
    <col min="9478" max="9478" width="11.140625" customWidth="1"/>
    <col min="9479" max="9479" width="8.140625" customWidth="1"/>
    <col min="9480" max="9480" width="10.42578125" customWidth="1"/>
    <col min="9481" max="9481" width="0" hidden="1" customWidth="1"/>
    <col min="9482" max="9482" width="19.5703125" customWidth="1"/>
    <col min="9729" max="9729" width="5.5703125" customWidth="1"/>
    <col min="9730" max="9730" width="9.5703125" customWidth="1"/>
    <col min="9731" max="9731" width="8.5703125" customWidth="1"/>
    <col min="9732" max="9732" width="9.5703125" bestFit="1" customWidth="1"/>
    <col min="9733" max="9733" width="10.140625" customWidth="1"/>
    <col min="9734" max="9734" width="11.140625" customWidth="1"/>
    <col min="9735" max="9735" width="8.140625" customWidth="1"/>
    <col min="9736" max="9736" width="10.42578125" customWidth="1"/>
    <col min="9737" max="9737" width="0" hidden="1" customWidth="1"/>
    <col min="9738" max="9738" width="19.5703125" customWidth="1"/>
    <col min="9985" max="9985" width="5.5703125" customWidth="1"/>
    <col min="9986" max="9986" width="9.5703125" customWidth="1"/>
    <col min="9987" max="9987" width="8.5703125" customWidth="1"/>
    <col min="9988" max="9988" width="9.5703125" bestFit="1" customWidth="1"/>
    <col min="9989" max="9989" width="10.140625" customWidth="1"/>
    <col min="9990" max="9990" width="11.140625" customWidth="1"/>
    <col min="9991" max="9991" width="8.140625" customWidth="1"/>
    <col min="9992" max="9992" width="10.42578125" customWidth="1"/>
    <col min="9993" max="9993" width="0" hidden="1" customWidth="1"/>
    <col min="9994" max="9994" width="19.5703125" customWidth="1"/>
    <col min="10241" max="10241" width="5.5703125" customWidth="1"/>
    <col min="10242" max="10242" width="9.5703125" customWidth="1"/>
    <col min="10243" max="10243" width="8.5703125" customWidth="1"/>
    <col min="10244" max="10244" width="9.5703125" bestFit="1" customWidth="1"/>
    <col min="10245" max="10245" width="10.140625" customWidth="1"/>
    <col min="10246" max="10246" width="11.140625" customWidth="1"/>
    <col min="10247" max="10247" width="8.140625" customWidth="1"/>
    <col min="10248" max="10248" width="10.42578125" customWidth="1"/>
    <col min="10249" max="10249" width="0" hidden="1" customWidth="1"/>
    <col min="10250" max="10250" width="19.5703125" customWidth="1"/>
    <col min="10497" max="10497" width="5.5703125" customWidth="1"/>
    <col min="10498" max="10498" width="9.5703125" customWidth="1"/>
    <col min="10499" max="10499" width="8.5703125" customWidth="1"/>
    <col min="10500" max="10500" width="9.5703125" bestFit="1" customWidth="1"/>
    <col min="10501" max="10501" width="10.140625" customWidth="1"/>
    <col min="10502" max="10502" width="11.140625" customWidth="1"/>
    <col min="10503" max="10503" width="8.140625" customWidth="1"/>
    <col min="10504" max="10504" width="10.42578125" customWidth="1"/>
    <col min="10505" max="10505" width="0" hidden="1" customWidth="1"/>
    <col min="10506" max="10506" width="19.5703125" customWidth="1"/>
    <col min="10753" max="10753" width="5.5703125" customWidth="1"/>
    <col min="10754" max="10754" width="9.5703125" customWidth="1"/>
    <col min="10755" max="10755" width="8.5703125" customWidth="1"/>
    <col min="10756" max="10756" width="9.5703125" bestFit="1" customWidth="1"/>
    <col min="10757" max="10757" width="10.140625" customWidth="1"/>
    <col min="10758" max="10758" width="11.140625" customWidth="1"/>
    <col min="10759" max="10759" width="8.140625" customWidth="1"/>
    <col min="10760" max="10760" width="10.42578125" customWidth="1"/>
    <col min="10761" max="10761" width="0" hidden="1" customWidth="1"/>
    <col min="10762" max="10762" width="19.5703125" customWidth="1"/>
    <col min="11009" max="11009" width="5.5703125" customWidth="1"/>
    <col min="11010" max="11010" width="9.5703125" customWidth="1"/>
    <col min="11011" max="11011" width="8.5703125" customWidth="1"/>
    <col min="11012" max="11012" width="9.5703125" bestFit="1" customWidth="1"/>
    <col min="11013" max="11013" width="10.140625" customWidth="1"/>
    <col min="11014" max="11014" width="11.140625" customWidth="1"/>
    <col min="11015" max="11015" width="8.140625" customWidth="1"/>
    <col min="11016" max="11016" width="10.42578125" customWidth="1"/>
    <col min="11017" max="11017" width="0" hidden="1" customWidth="1"/>
    <col min="11018" max="11018" width="19.5703125" customWidth="1"/>
    <col min="11265" max="11265" width="5.5703125" customWidth="1"/>
    <col min="11266" max="11266" width="9.5703125" customWidth="1"/>
    <col min="11267" max="11267" width="8.5703125" customWidth="1"/>
    <col min="11268" max="11268" width="9.5703125" bestFit="1" customWidth="1"/>
    <col min="11269" max="11269" width="10.140625" customWidth="1"/>
    <col min="11270" max="11270" width="11.140625" customWidth="1"/>
    <col min="11271" max="11271" width="8.140625" customWidth="1"/>
    <col min="11272" max="11272" width="10.42578125" customWidth="1"/>
    <col min="11273" max="11273" width="0" hidden="1" customWidth="1"/>
    <col min="11274" max="11274" width="19.5703125" customWidth="1"/>
    <col min="11521" max="11521" width="5.5703125" customWidth="1"/>
    <col min="11522" max="11522" width="9.5703125" customWidth="1"/>
    <col min="11523" max="11523" width="8.5703125" customWidth="1"/>
    <col min="11524" max="11524" width="9.5703125" bestFit="1" customWidth="1"/>
    <col min="11525" max="11525" width="10.140625" customWidth="1"/>
    <col min="11526" max="11526" width="11.140625" customWidth="1"/>
    <col min="11527" max="11527" width="8.140625" customWidth="1"/>
    <col min="11528" max="11528" width="10.42578125" customWidth="1"/>
    <col min="11529" max="11529" width="0" hidden="1" customWidth="1"/>
    <col min="11530" max="11530" width="19.5703125" customWidth="1"/>
    <col min="11777" max="11777" width="5.5703125" customWidth="1"/>
    <col min="11778" max="11778" width="9.5703125" customWidth="1"/>
    <col min="11779" max="11779" width="8.5703125" customWidth="1"/>
    <col min="11780" max="11780" width="9.5703125" bestFit="1" customWidth="1"/>
    <col min="11781" max="11781" width="10.140625" customWidth="1"/>
    <col min="11782" max="11782" width="11.140625" customWidth="1"/>
    <col min="11783" max="11783" width="8.140625" customWidth="1"/>
    <col min="11784" max="11784" width="10.42578125" customWidth="1"/>
    <col min="11785" max="11785" width="0" hidden="1" customWidth="1"/>
    <col min="11786" max="11786" width="19.5703125" customWidth="1"/>
    <col min="12033" max="12033" width="5.5703125" customWidth="1"/>
    <col min="12034" max="12034" width="9.5703125" customWidth="1"/>
    <col min="12035" max="12035" width="8.5703125" customWidth="1"/>
    <col min="12036" max="12036" width="9.5703125" bestFit="1" customWidth="1"/>
    <col min="12037" max="12037" width="10.140625" customWidth="1"/>
    <col min="12038" max="12038" width="11.140625" customWidth="1"/>
    <col min="12039" max="12039" width="8.140625" customWidth="1"/>
    <col min="12040" max="12040" width="10.42578125" customWidth="1"/>
    <col min="12041" max="12041" width="0" hidden="1" customWidth="1"/>
    <col min="12042" max="12042" width="19.5703125" customWidth="1"/>
    <col min="12289" max="12289" width="5.5703125" customWidth="1"/>
    <col min="12290" max="12290" width="9.5703125" customWidth="1"/>
    <col min="12291" max="12291" width="8.5703125" customWidth="1"/>
    <col min="12292" max="12292" width="9.5703125" bestFit="1" customWidth="1"/>
    <col min="12293" max="12293" width="10.140625" customWidth="1"/>
    <col min="12294" max="12294" width="11.140625" customWidth="1"/>
    <col min="12295" max="12295" width="8.140625" customWidth="1"/>
    <col min="12296" max="12296" width="10.42578125" customWidth="1"/>
    <col min="12297" max="12297" width="0" hidden="1" customWidth="1"/>
    <col min="12298" max="12298" width="19.5703125" customWidth="1"/>
    <col min="12545" max="12545" width="5.5703125" customWidth="1"/>
    <col min="12546" max="12546" width="9.5703125" customWidth="1"/>
    <col min="12547" max="12547" width="8.5703125" customWidth="1"/>
    <col min="12548" max="12548" width="9.5703125" bestFit="1" customWidth="1"/>
    <col min="12549" max="12549" width="10.140625" customWidth="1"/>
    <col min="12550" max="12550" width="11.140625" customWidth="1"/>
    <col min="12551" max="12551" width="8.140625" customWidth="1"/>
    <col min="12552" max="12552" width="10.42578125" customWidth="1"/>
    <col min="12553" max="12553" width="0" hidden="1" customWidth="1"/>
    <col min="12554" max="12554" width="19.5703125" customWidth="1"/>
    <col min="12801" max="12801" width="5.5703125" customWidth="1"/>
    <col min="12802" max="12802" width="9.5703125" customWidth="1"/>
    <col min="12803" max="12803" width="8.5703125" customWidth="1"/>
    <col min="12804" max="12804" width="9.5703125" bestFit="1" customWidth="1"/>
    <col min="12805" max="12805" width="10.140625" customWidth="1"/>
    <col min="12806" max="12806" width="11.140625" customWidth="1"/>
    <col min="12807" max="12807" width="8.140625" customWidth="1"/>
    <col min="12808" max="12808" width="10.42578125" customWidth="1"/>
    <col min="12809" max="12809" width="0" hidden="1" customWidth="1"/>
    <col min="12810" max="12810" width="19.5703125" customWidth="1"/>
    <col min="13057" max="13057" width="5.5703125" customWidth="1"/>
    <col min="13058" max="13058" width="9.5703125" customWidth="1"/>
    <col min="13059" max="13059" width="8.5703125" customWidth="1"/>
    <col min="13060" max="13060" width="9.5703125" bestFit="1" customWidth="1"/>
    <col min="13061" max="13061" width="10.140625" customWidth="1"/>
    <col min="13062" max="13062" width="11.140625" customWidth="1"/>
    <col min="13063" max="13063" width="8.140625" customWidth="1"/>
    <col min="13064" max="13064" width="10.42578125" customWidth="1"/>
    <col min="13065" max="13065" width="0" hidden="1" customWidth="1"/>
    <col min="13066" max="13066" width="19.5703125" customWidth="1"/>
    <col min="13313" max="13313" width="5.5703125" customWidth="1"/>
    <col min="13314" max="13314" width="9.5703125" customWidth="1"/>
    <col min="13315" max="13315" width="8.5703125" customWidth="1"/>
    <col min="13316" max="13316" width="9.5703125" bestFit="1" customWidth="1"/>
    <col min="13317" max="13317" width="10.140625" customWidth="1"/>
    <col min="13318" max="13318" width="11.140625" customWidth="1"/>
    <col min="13319" max="13319" width="8.140625" customWidth="1"/>
    <col min="13320" max="13320" width="10.42578125" customWidth="1"/>
    <col min="13321" max="13321" width="0" hidden="1" customWidth="1"/>
    <col min="13322" max="13322" width="19.5703125" customWidth="1"/>
    <col min="13569" max="13569" width="5.5703125" customWidth="1"/>
    <col min="13570" max="13570" width="9.5703125" customWidth="1"/>
    <col min="13571" max="13571" width="8.5703125" customWidth="1"/>
    <col min="13572" max="13572" width="9.5703125" bestFit="1" customWidth="1"/>
    <col min="13573" max="13573" width="10.140625" customWidth="1"/>
    <col min="13574" max="13574" width="11.140625" customWidth="1"/>
    <col min="13575" max="13575" width="8.140625" customWidth="1"/>
    <col min="13576" max="13576" width="10.42578125" customWidth="1"/>
    <col min="13577" max="13577" width="0" hidden="1" customWidth="1"/>
    <col min="13578" max="13578" width="19.5703125" customWidth="1"/>
    <col min="13825" max="13825" width="5.5703125" customWidth="1"/>
    <col min="13826" max="13826" width="9.5703125" customWidth="1"/>
    <col min="13827" max="13827" width="8.5703125" customWidth="1"/>
    <col min="13828" max="13828" width="9.5703125" bestFit="1" customWidth="1"/>
    <col min="13829" max="13829" width="10.140625" customWidth="1"/>
    <col min="13830" max="13830" width="11.140625" customWidth="1"/>
    <col min="13831" max="13831" width="8.140625" customWidth="1"/>
    <col min="13832" max="13832" width="10.42578125" customWidth="1"/>
    <col min="13833" max="13833" width="0" hidden="1" customWidth="1"/>
    <col min="13834" max="13834" width="19.5703125" customWidth="1"/>
    <col min="14081" max="14081" width="5.5703125" customWidth="1"/>
    <col min="14082" max="14082" width="9.5703125" customWidth="1"/>
    <col min="14083" max="14083" width="8.5703125" customWidth="1"/>
    <col min="14084" max="14084" width="9.5703125" bestFit="1" customWidth="1"/>
    <col min="14085" max="14085" width="10.140625" customWidth="1"/>
    <col min="14086" max="14086" width="11.140625" customWidth="1"/>
    <col min="14087" max="14087" width="8.140625" customWidth="1"/>
    <col min="14088" max="14088" width="10.42578125" customWidth="1"/>
    <col min="14089" max="14089" width="0" hidden="1" customWidth="1"/>
    <col min="14090" max="14090" width="19.5703125" customWidth="1"/>
    <col min="14337" max="14337" width="5.5703125" customWidth="1"/>
    <col min="14338" max="14338" width="9.5703125" customWidth="1"/>
    <col min="14339" max="14339" width="8.5703125" customWidth="1"/>
    <col min="14340" max="14340" width="9.5703125" bestFit="1" customWidth="1"/>
    <col min="14341" max="14341" width="10.140625" customWidth="1"/>
    <col min="14342" max="14342" width="11.140625" customWidth="1"/>
    <col min="14343" max="14343" width="8.140625" customWidth="1"/>
    <col min="14344" max="14344" width="10.42578125" customWidth="1"/>
    <col min="14345" max="14345" width="0" hidden="1" customWidth="1"/>
    <col min="14346" max="14346" width="19.5703125" customWidth="1"/>
    <col min="14593" max="14593" width="5.5703125" customWidth="1"/>
    <col min="14594" max="14594" width="9.5703125" customWidth="1"/>
    <col min="14595" max="14595" width="8.5703125" customWidth="1"/>
    <col min="14596" max="14596" width="9.5703125" bestFit="1" customWidth="1"/>
    <col min="14597" max="14597" width="10.140625" customWidth="1"/>
    <col min="14598" max="14598" width="11.140625" customWidth="1"/>
    <col min="14599" max="14599" width="8.140625" customWidth="1"/>
    <col min="14600" max="14600" width="10.42578125" customWidth="1"/>
    <col min="14601" max="14601" width="0" hidden="1" customWidth="1"/>
    <col min="14602" max="14602" width="19.5703125" customWidth="1"/>
    <col min="14849" max="14849" width="5.5703125" customWidth="1"/>
    <col min="14850" max="14850" width="9.5703125" customWidth="1"/>
    <col min="14851" max="14851" width="8.5703125" customWidth="1"/>
    <col min="14852" max="14852" width="9.5703125" bestFit="1" customWidth="1"/>
    <col min="14853" max="14853" width="10.140625" customWidth="1"/>
    <col min="14854" max="14854" width="11.140625" customWidth="1"/>
    <col min="14855" max="14855" width="8.140625" customWidth="1"/>
    <col min="14856" max="14856" width="10.42578125" customWidth="1"/>
    <col min="14857" max="14857" width="0" hidden="1" customWidth="1"/>
    <col min="14858" max="14858" width="19.5703125" customWidth="1"/>
    <col min="15105" max="15105" width="5.5703125" customWidth="1"/>
    <col min="15106" max="15106" width="9.5703125" customWidth="1"/>
    <col min="15107" max="15107" width="8.5703125" customWidth="1"/>
    <col min="15108" max="15108" width="9.5703125" bestFit="1" customWidth="1"/>
    <col min="15109" max="15109" width="10.140625" customWidth="1"/>
    <col min="15110" max="15110" width="11.140625" customWidth="1"/>
    <col min="15111" max="15111" width="8.140625" customWidth="1"/>
    <col min="15112" max="15112" width="10.42578125" customWidth="1"/>
    <col min="15113" max="15113" width="0" hidden="1" customWidth="1"/>
    <col min="15114" max="15114" width="19.5703125" customWidth="1"/>
    <col min="15361" max="15361" width="5.5703125" customWidth="1"/>
    <col min="15362" max="15362" width="9.5703125" customWidth="1"/>
    <col min="15363" max="15363" width="8.5703125" customWidth="1"/>
    <col min="15364" max="15364" width="9.5703125" bestFit="1" customWidth="1"/>
    <col min="15365" max="15365" width="10.140625" customWidth="1"/>
    <col min="15366" max="15366" width="11.140625" customWidth="1"/>
    <col min="15367" max="15367" width="8.140625" customWidth="1"/>
    <col min="15368" max="15368" width="10.42578125" customWidth="1"/>
    <col min="15369" max="15369" width="0" hidden="1" customWidth="1"/>
    <col min="15370" max="15370" width="19.5703125" customWidth="1"/>
    <col min="15617" max="15617" width="5.5703125" customWidth="1"/>
    <col min="15618" max="15618" width="9.5703125" customWidth="1"/>
    <col min="15619" max="15619" width="8.5703125" customWidth="1"/>
    <col min="15620" max="15620" width="9.5703125" bestFit="1" customWidth="1"/>
    <col min="15621" max="15621" width="10.140625" customWidth="1"/>
    <col min="15622" max="15622" width="11.140625" customWidth="1"/>
    <col min="15623" max="15623" width="8.140625" customWidth="1"/>
    <col min="15624" max="15624" width="10.42578125" customWidth="1"/>
    <col min="15625" max="15625" width="0" hidden="1" customWidth="1"/>
    <col min="15626" max="15626" width="19.5703125" customWidth="1"/>
    <col min="15873" max="15873" width="5.5703125" customWidth="1"/>
    <col min="15874" max="15874" width="9.5703125" customWidth="1"/>
    <col min="15875" max="15875" width="8.5703125" customWidth="1"/>
    <col min="15876" max="15876" width="9.5703125" bestFit="1" customWidth="1"/>
    <col min="15877" max="15877" width="10.140625" customWidth="1"/>
    <col min="15878" max="15878" width="11.140625" customWidth="1"/>
    <col min="15879" max="15879" width="8.140625" customWidth="1"/>
    <col min="15880" max="15880" width="10.42578125" customWidth="1"/>
    <col min="15881" max="15881" width="0" hidden="1" customWidth="1"/>
    <col min="15882" max="15882" width="19.5703125" customWidth="1"/>
    <col min="16129" max="16129" width="5.5703125" customWidth="1"/>
    <col min="16130" max="16130" width="9.5703125" customWidth="1"/>
    <col min="16131" max="16131" width="8.5703125" customWidth="1"/>
    <col min="16132" max="16132" width="9.5703125" bestFit="1" customWidth="1"/>
    <col min="16133" max="16133" width="10.140625" customWidth="1"/>
    <col min="16134" max="16134" width="11.140625" customWidth="1"/>
    <col min="16135" max="16135" width="8.140625" customWidth="1"/>
    <col min="16136" max="16136" width="10.42578125" customWidth="1"/>
    <col min="16137" max="16137" width="0" hidden="1" customWidth="1"/>
    <col min="16138" max="16138" width="19.5703125" customWidth="1"/>
  </cols>
  <sheetData>
    <row r="1" spans="1:11" ht="20.25" x14ac:dyDescent="0.3">
      <c r="A1" s="27"/>
      <c r="C1" s="2"/>
      <c r="I1" s="39" t="s">
        <v>31</v>
      </c>
      <c r="J1" s="71" t="s">
        <v>31</v>
      </c>
    </row>
    <row r="2" spans="1:11" x14ac:dyDescent="0.2">
      <c r="A2" t="s">
        <v>68</v>
      </c>
      <c r="B2" s="2" t="s">
        <v>28</v>
      </c>
      <c r="C2" s="3">
        <v>0.6</v>
      </c>
      <c r="D2" s="3">
        <v>0.17</v>
      </c>
      <c r="E2" s="3">
        <v>0.08</v>
      </c>
      <c r="F2" s="3">
        <v>0.09</v>
      </c>
      <c r="G2" s="3">
        <v>0.06</v>
      </c>
    </row>
    <row r="3" spans="1:11" ht="16.5" thickBot="1" x14ac:dyDescent="0.3">
      <c r="A3" s="116" t="s">
        <v>1</v>
      </c>
      <c r="B3" s="116" t="s">
        <v>2</v>
      </c>
      <c r="C3" s="116" t="s">
        <v>3</v>
      </c>
      <c r="D3" s="116" t="s">
        <v>4</v>
      </c>
      <c r="E3" s="116" t="s">
        <v>5</v>
      </c>
      <c r="F3" s="116" t="s">
        <v>6</v>
      </c>
      <c r="G3" s="116" t="s">
        <v>7</v>
      </c>
      <c r="H3" s="117" t="s">
        <v>0</v>
      </c>
      <c r="I3" s="2" t="s">
        <v>20</v>
      </c>
      <c r="J3" s="118" t="s">
        <v>46</v>
      </c>
      <c r="K3" s="2" t="s">
        <v>47</v>
      </c>
    </row>
    <row r="4" spans="1:11" ht="15" hidden="1" x14ac:dyDescent="0.2">
      <c r="A4" s="2">
        <v>2005</v>
      </c>
      <c r="B4" t="s">
        <v>8</v>
      </c>
      <c r="C4" s="205" t="s">
        <v>19</v>
      </c>
      <c r="D4" s="206" t="s">
        <v>19</v>
      </c>
      <c r="E4" s="206" t="s">
        <v>19</v>
      </c>
      <c r="F4" s="206" t="s">
        <v>19</v>
      </c>
      <c r="G4" s="206" t="s">
        <v>19</v>
      </c>
      <c r="H4" s="65" t="s">
        <v>19</v>
      </c>
      <c r="I4" t="s">
        <v>19</v>
      </c>
    </row>
    <row r="5" spans="1:11" ht="15" hidden="1" x14ac:dyDescent="0.2">
      <c r="A5" s="10">
        <f>A4</f>
        <v>2005</v>
      </c>
      <c r="B5" t="s">
        <v>9</v>
      </c>
      <c r="C5" s="205" t="s">
        <v>19</v>
      </c>
      <c r="D5" s="206" t="s">
        <v>19</v>
      </c>
      <c r="E5" s="206" t="s">
        <v>19</v>
      </c>
      <c r="F5" s="206" t="s">
        <v>19</v>
      </c>
      <c r="G5" s="206" t="s">
        <v>19</v>
      </c>
      <c r="H5" s="65" t="s">
        <v>19</v>
      </c>
      <c r="I5" s="4" t="e">
        <f t="shared" ref="I5:I63" si="0">(H5-H4)/H4*100</f>
        <v>#VALUE!</v>
      </c>
    </row>
    <row r="6" spans="1:11" ht="15" hidden="1" x14ac:dyDescent="0.2">
      <c r="A6" s="12">
        <f t="shared" ref="A6:A15" si="1">A5</f>
        <v>2005</v>
      </c>
      <c r="B6" s="13" t="s">
        <v>10</v>
      </c>
      <c r="C6" s="207" t="s">
        <v>19</v>
      </c>
      <c r="D6" s="208" t="s">
        <v>19</v>
      </c>
      <c r="E6" s="208" t="s">
        <v>19</v>
      </c>
      <c r="F6" s="207" t="s">
        <v>19</v>
      </c>
      <c r="G6" s="208" t="s">
        <v>19</v>
      </c>
      <c r="H6" s="66" t="s">
        <v>19</v>
      </c>
      <c r="I6" s="4" t="e">
        <f t="shared" si="0"/>
        <v>#VALUE!</v>
      </c>
    </row>
    <row r="7" spans="1:11" ht="15" hidden="1" x14ac:dyDescent="0.2">
      <c r="A7" s="17">
        <f t="shared" si="1"/>
        <v>2005</v>
      </c>
      <c r="B7" s="18" t="s">
        <v>11</v>
      </c>
      <c r="C7" s="209" t="s">
        <v>19</v>
      </c>
      <c r="D7" s="210" t="s">
        <v>19</v>
      </c>
      <c r="E7" s="210" t="s">
        <v>19</v>
      </c>
      <c r="F7" s="210" t="s">
        <v>19</v>
      </c>
      <c r="G7" s="210" t="s">
        <v>19</v>
      </c>
      <c r="H7" s="67" t="s">
        <v>19</v>
      </c>
      <c r="I7" s="4" t="e">
        <f t="shared" si="0"/>
        <v>#VALUE!</v>
      </c>
    </row>
    <row r="8" spans="1:11" ht="15" hidden="1" x14ac:dyDescent="0.2">
      <c r="A8" s="10">
        <f t="shared" si="1"/>
        <v>2005</v>
      </c>
      <c r="B8" t="s">
        <v>12</v>
      </c>
      <c r="C8" s="205" t="s">
        <v>19</v>
      </c>
      <c r="D8" s="206" t="s">
        <v>19</v>
      </c>
      <c r="E8" s="206" t="s">
        <v>19</v>
      </c>
      <c r="F8" s="206" t="s">
        <v>19</v>
      </c>
      <c r="G8" s="206" t="s">
        <v>19</v>
      </c>
      <c r="H8" s="65" t="s">
        <v>19</v>
      </c>
      <c r="I8" s="4" t="e">
        <f t="shared" si="0"/>
        <v>#VALUE!</v>
      </c>
    </row>
    <row r="9" spans="1:11" ht="15" hidden="1" x14ac:dyDescent="0.2">
      <c r="A9" s="12">
        <f t="shared" si="1"/>
        <v>2005</v>
      </c>
      <c r="B9" s="13" t="s">
        <v>13</v>
      </c>
      <c r="C9" s="207" t="s">
        <v>19</v>
      </c>
      <c r="D9" s="208" t="s">
        <v>19</v>
      </c>
      <c r="E9" s="208" t="s">
        <v>19</v>
      </c>
      <c r="F9" s="208" t="s">
        <v>19</v>
      </c>
      <c r="G9" s="211" t="s">
        <v>19</v>
      </c>
      <c r="H9" s="66" t="s">
        <v>19</v>
      </c>
      <c r="I9" s="4" t="e">
        <f t="shared" si="0"/>
        <v>#VALUE!</v>
      </c>
    </row>
    <row r="10" spans="1:11" ht="15" hidden="1" x14ac:dyDescent="0.2">
      <c r="A10" s="82">
        <f t="shared" si="1"/>
        <v>2005</v>
      </c>
      <c r="B10" s="212" t="s">
        <v>30</v>
      </c>
      <c r="C10" s="19">
        <v>100</v>
      </c>
      <c r="D10" s="19">
        <v>117.3</v>
      </c>
      <c r="E10" s="18">
        <v>110.3</v>
      </c>
      <c r="F10" s="19">
        <v>99.4</v>
      </c>
      <c r="G10" s="23">
        <v>3.36</v>
      </c>
      <c r="H10" s="67">
        <f t="shared" ref="H10:H73" si="2">100+((C10-$C$40)/$C$40*100*$C$2)+((D10-$D$40)/$D$40*100*$D$2)+((E10-$E$40)/$E$40*100*$E$2)+((F10-$F$40)/$F$40*100*$F$2)+((G10-$G$40)/$G$40*100*$G$2)</f>
        <v>90.292328719285351</v>
      </c>
      <c r="I10" s="4" t="e">
        <f t="shared" si="0"/>
        <v>#VALUE!</v>
      </c>
    </row>
    <row r="11" spans="1:11" ht="15" hidden="1" x14ac:dyDescent="0.2">
      <c r="A11" s="10">
        <f t="shared" si="1"/>
        <v>2005</v>
      </c>
      <c r="B11" t="s">
        <v>14</v>
      </c>
      <c r="C11" s="11">
        <v>100</v>
      </c>
      <c r="D11">
        <v>122.9</v>
      </c>
      <c r="E11">
        <v>110.4</v>
      </c>
      <c r="F11">
        <v>99.8</v>
      </c>
      <c r="G11">
        <v>3.3</v>
      </c>
      <c r="H11" s="65">
        <f t="shared" si="2"/>
        <v>90.92752527499178</v>
      </c>
      <c r="I11" s="4">
        <f t="shared" si="0"/>
        <v>0.70348895051895877</v>
      </c>
    </row>
    <row r="12" spans="1:11" ht="15" hidden="1" x14ac:dyDescent="0.2">
      <c r="A12" s="12">
        <f t="shared" si="1"/>
        <v>2005</v>
      </c>
      <c r="B12" s="13" t="s">
        <v>15</v>
      </c>
      <c r="C12" s="14">
        <v>100</v>
      </c>
      <c r="D12" s="13">
        <v>127</v>
      </c>
      <c r="E12" s="13">
        <v>110.3</v>
      </c>
      <c r="F12" s="14">
        <v>100</v>
      </c>
      <c r="G12" s="13">
        <v>3.29</v>
      </c>
      <c r="H12" s="66">
        <f t="shared" si="2"/>
        <v>91.414653079921692</v>
      </c>
      <c r="I12" s="4">
        <f t="shared" si="0"/>
        <v>0.53573195075604807</v>
      </c>
    </row>
    <row r="13" spans="1:11" ht="15" hidden="1" x14ac:dyDescent="0.2">
      <c r="A13" s="17">
        <f t="shared" si="1"/>
        <v>2005</v>
      </c>
      <c r="B13" s="18" t="s">
        <v>16</v>
      </c>
      <c r="C13" s="19">
        <v>100.5</v>
      </c>
      <c r="D13" s="18">
        <v>126.5</v>
      </c>
      <c r="E13" s="18">
        <v>110.3</v>
      </c>
      <c r="F13" s="18">
        <v>100.1</v>
      </c>
      <c r="G13" s="18">
        <v>3.29</v>
      </c>
      <c r="H13" s="67">
        <f t="shared" si="2"/>
        <v>91.640641159377168</v>
      </c>
      <c r="I13" s="4">
        <f t="shared" si="0"/>
        <v>0.24721209548090717</v>
      </c>
    </row>
    <row r="14" spans="1:11" ht="15" hidden="1" x14ac:dyDescent="0.2">
      <c r="A14" s="10">
        <f t="shared" si="1"/>
        <v>2005</v>
      </c>
      <c r="B14" t="s">
        <v>17</v>
      </c>
      <c r="C14" s="11">
        <v>100.5</v>
      </c>
      <c r="D14">
        <v>130.19999999999999</v>
      </c>
      <c r="E14">
        <v>111.2</v>
      </c>
      <c r="F14" s="11">
        <v>100</v>
      </c>
      <c r="G14" s="21">
        <v>3.34</v>
      </c>
      <c r="H14" s="65">
        <f t="shared" si="2"/>
        <v>92.197079298895403</v>
      </c>
      <c r="I14" s="4">
        <f t="shared" si="0"/>
        <v>0.60719581670156986</v>
      </c>
    </row>
    <row r="15" spans="1:11" ht="15.75" hidden="1" thickBot="1" x14ac:dyDescent="0.25">
      <c r="A15" s="29">
        <f t="shared" si="1"/>
        <v>2005</v>
      </c>
      <c r="B15" s="30" t="s">
        <v>18</v>
      </c>
      <c r="C15" s="31">
        <v>100.5</v>
      </c>
      <c r="D15" s="30">
        <v>132.80000000000001</v>
      </c>
      <c r="E15" s="30">
        <v>111.1</v>
      </c>
      <c r="F15" s="30">
        <v>100.1</v>
      </c>
      <c r="G15" s="56">
        <v>3.72</v>
      </c>
      <c r="H15" s="68">
        <f t="shared" si="2"/>
        <v>92.986932917933089</v>
      </c>
      <c r="I15" s="4">
        <f t="shared" si="0"/>
        <v>0.85670134568693324</v>
      </c>
    </row>
    <row r="16" spans="1:11" ht="15" hidden="1" x14ac:dyDescent="0.2">
      <c r="A16" s="2">
        <v>2006</v>
      </c>
      <c r="B16" t="s">
        <v>8</v>
      </c>
      <c r="C16" s="11">
        <v>101.3</v>
      </c>
      <c r="D16">
        <v>125.9</v>
      </c>
      <c r="E16">
        <v>110.8</v>
      </c>
      <c r="F16" s="11">
        <v>99.9</v>
      </c>
      <c r="G16">
        <v>3.8</v>
      </c>
      <c r="H16" s="65">
        <f t="shared" si="2"/>
        <v>92.668805416705865</v>
      </c>
      <c r="I16" s="4">
        <f t="shared" si="0"/>
        <v>-0.34212065205763015</v>
      </c>
    </row>
    <row r="17" spans="1:9" ht="15" hidden="1" x14ac:dyDescent="0.2">
      <c r="A17" s="10">
        <f>A16</f>
        <v>2006</v>
      </c>
      <c r="B17" t="s">
        <v>9</v>
      </c>
      <c r="C17" s="11">
        <v>101.3</v>
      </c>
      <c r="D17" s="11">
        <v>125.1</v>
      </c>
      <c r="E17">
        <v>110.8</v>
      </c>
      <c r="F17">
        <v>99.4</v>
      </c>
      <c r="G17">
        <v>3.69</v>
      </c>
      <c r="H17" s="65">
        <f t="shared" si="2"/>
        <v>92.388858566310347</v>
      </c>
      <c r="I17" s="4">
        <f t="shared" si="0"/>
        <v>-0.30209394535375206</v>
      </c>
    </row>
    <row r="18" spans="1:9" ht="15" hidden="1" x14ac:dyDescent="0.2">
      <c r="A18" s="12">
        <f t="shared" ref="A18:A27" si="3">A17</f>
        <v>2006</v>
      </c>
      <c r="B18" s="13" t="s">
        <v>10</v>
      </c>
      <c r="C18" s="14">
        <v>101.3</v>
      </c>
      <c r="D18" s="13">
        <v>126.1</v>
      </c>
      <c r="E18" s="13">
        <v>110.4</v>
      </c>
      <c r="F18" s="14">
        <v>99.8</v>
      </c>
      <c r="G18" s="15">
        <v>3.71</v>
      </c>
      <c r="H18" s="66">
        <f t="shared" si="2"/>
        <v>92.542432970583306</v>
      </c>
      <c r="I18" s="4">
        <f t="shared" si="0"/>
        <v>0.16622610848983904</v>
      </c>
    </row>
    <row r="19" spans="1:9" ht="15" hidden="1" x14ac:dyDescent="0.2">
      <c r="A19" s="17">
        <f t="shared" si="3"/>
        <v>2006</v>
      </c>
      <c r="B19" s="18" t="s">
        <v>11</v>
      </c>
      <c r="C19" s="19">
        <v>102.1</v>
      </c>
      <c r="D19" s="18">
        <v>126</v>
      </c>
      <c r="E19" s="18">
        <v>111.5</v>
      </c>
      <c r="F19" s="18">
        <v>99.4</v>
      </c>
      <c r="G19" s="18">
        <v>3.81</v>
      </c>
      <c r="H19" s="67">
        <f t="shared" si="2"/>
        <v>93.137418618440705</v>
      </c>
      <c r="I19" s="4">
        <f t="shared" si="0"/>
        <v>0.64293279175675955</v>
      </c>
    </row>
    <row r="20" spans="1:9" ht="15" hidden="1" x14ac:dyDescent="0.2">
      <c r="A20" s="10">
        <f t="shared" si="3"/>
        <v>2006</v>
      </c>
      <c r="B20" t="s">
        <v>12</v>
      </c>
      <c r="C20" s="11">
        <v>102.1</v>
      </c>
      <c r="D20">
        <v>127.5</v>
      </c>
      <c r="E20">
        <v>111.9</v>
      </c>
      <c r="F20" s="11">
        <v>99.5</v>
      </c>
      <c r="G20" s="21">
        <v>4</v>
      </c>
      <c r="H20" s="65">
        <f t="shared" si="2"/>
        <v>93.591958180466236</v>
      </c>
      <c r="I20" s="4">
        <f t="shared" si="0"/>
        <v>0.4880310929462825</v>
      </c>
    </row>
    <row r="21" spans="1:9" ht="15" hidden="1" x14ac:dyDescent="0.2">
      <c r="A21" s="12">
        <f t="shared" si="3"/>
        <v>2006</v>
      </c>
      <c r="B21" s="13" t="s">
        <v>13</v>
      </c>
      <c r="C21" s="14">
        <v>102.1</v>
      </c>
      <c r="D21" s="13">
        <v>128.9</v>
      </c>
      <c r="E21" s="13">
        <v>112.4</v>
      </c>
      <c r="F21" s="14">
        <v>99.4</v>
      </c>
      <c r="G21" s="13">
        <v>4.13</v>
      </c>
      <c r="H21" s="66">
        <f t="shared" si="2"/>
        <v>93.947510099286887</v>
      </c>
      <c r="I21" s="4">
        <f t="shared" si="0"/>
        <v>0.37989580059332462</v>
      </c>
    </row>
    <row r="22" spans="1:9" ht="15" hidden="1" x14ac:dyDescent="0.2">
      <c r="A22" s="17">
        <f t="shared" si="3"/>
        <v>2006</v>
      </c>
      <c r="B22" s="212" t="s">
        <v>30</v>
      </c>
      <c r="C22" s="19">
        <v>102.9</v>
      </c>
      <c r="D22" s="18">
        <v>130.30000000000001</v>
      </c>
      <c r="E22" s="18">
        <v>112.5</v>
      </c>
      <c r="F22" s="19">
        <v>98.8</v>
      </c>
      <c r="G22" s="23">
        <v>4.0999999999999996</v>
      </c>
      <c r="H22" s="67">
        <f t="shared" si="2"/>
        <v>94.469743503759759</v>
      </c>
      <c r="I22" s="4">
        <f t="shared" si="0"/>
        <v>0.55587785553971292</v>
      </c>
    </row>
    <row r="23" spans="1:9" ht="15" hidden="1" x14ac:dyDescent="0.2">
      <c r="A23" s="10">
        <f t="shared" si="3"/>
        <v>2006</v>
      </c>
      <c r="B23" t="s">
        <v>14</v>
      </c>
      <c r="C23" s="11">
        <v>102.9</v>
      </c>
      <c r="D23">
        <v>130.30000000000001</v>
      </c>
      <c r="E23">
        <v>112.8</v>
      </c>
      <c r="F23" s="11">
        <v>98</v>
      </c>
      <c r="G23">
        <v>4.21</v>
      </c>
      <c r="H23" s="65">
        <f t="shared" si="2"/>
        <v>94.554737143960054</v>
      </c>
      <c r="I23" s="4">
        <f t="shared" si="0"/>
        <v>8.9969165838703374E-2</v>
      </c>
    </row>
    <row r="24" spans="1:9" ht="15" hidden="1" x14ac:dyDescent="0.2">
      <c r="A24" s="12">
        <f t="shared" si="3"/>
        <v>2006</v>
      </c>
      <c r="B24" s="13" t="s">
        <v>15</v>
      </c>
      <c r="C24" s="14">
        <v>102.9</v>
      </c>
      <c r="D24" s="13">
        <v>131.19999999999999</v>
      </c>
      <c r="E24" s="13">
        <v>112.5</v>
      </c>
      <c r="F24" s="14">
        <v>98.3</v>
      </c>
      <c r="G24" s="15">
        <v>4.16</v>
      </c>
      <c r="H24" s="66">
        <f t="shared" si="2"/>
        <v>94.606014083732617</v>
      </c>
      <c r="I24" s="4">
        <f t="shared" si="0"/>
        <v>5.4229900395676663E-2</v>
      </c>
    </row>
    <row r="25" spans="1:9" ht="15" hidden="1" x14ac:dyDescent="0.2">
      <c r="A25" s="17">
        <f t="shared" si="3"/>
        <v>2006</v>
      </c>
      <c r="B25" s="18" t="s">
        <v>16</v>
      </c>
      <c r="C25" s="19">
        <v>103.7</v>
      </c>
      <c r="D25" s="18">
        <v>133.9</v>
      </c>
      <c r="E25" s="18">
        <v>112.5</v>
      </c>
      <c r="F25" s="19">
        <v>98.2</v>
      </c>
      <c r="G25" s="18">
        <v>4.1500000000000004</v>
      </c>
      <c r="H25" s="67">
        <f t="shared" si="2"/>
        <v>95.347584194028585</v>
      </c>
      <c r="I25" s="4">
        <f t="shared" si="0"/>
        <v>0.78385091844121924</v>
      </c>
    </row>
    <row r="26" spans="1:9" ht="15" hidden="1" x14ac:dyDescent="0.2">
      <c r="A26" s="10">
        <f t="shared" si="3"/>
        <v>2006</v>
      </c>
      <c r="B26" t="s">
        <v>17</v>
      </c>
      <c r="C26" s="11">
        <v>103.7</v>
      </c>
      <c r="D26">
        <v>128.4</v>
      </c>
      <c r="E26">
        <v>112.9</v>
      </c>
      <c r="F26" s="11">
        <v>97.8</v>
      </c>
      <c r="G26" s="21">
        <v>4.1399999999999997</v>
      </c>
      <c r="H26" s="65">
        <f t="shared" si="2"/>
        <v>94.670874120393549</v>
      </c>
      <c r="I26" s="4">
        <f t="shared" si="0"/>
        <v>-0.70972964795621607</v>
      </c>
    </row>
    <row r="27" spans="1:9" ht="15.75" hidden="1" thickBot="1" x14ac:dyDescent="0.25">
      <c r="A27" s="29">
        <f t="shared" si="3"/>
        <v>2006</v>
      </c>
      <c r="B27" s="30" t="s">
        <v>18</v>
      </c>
      <c r="C27" s="31">
        <v>103.7</v>
      </c>
      <c r="D27" s="30">
        <v>124.1</v>
      </c>
      <c r="E27" s="30">
        <v>112.8</v>
      </c>
      <c r="F27" s="31">
        <v>97.5</v>
      </c>
      <c r="G27" s="30">
        <v>4.3499999999999996</v>
      </c>
      <c r="H27" s="68">
        <f t="shared" si="2"/>
        <v>94.388387509788657</v>
      </c>
      <c r="I27" s="4">
        <f t="shared" si="0"/>
        <v>-0.29838808739174794</v>
      </c>
    </row>
    <row r="28" spans="1:9" ht="15" hidden="1" x14ac:dyDescent="0.2">
      <c r="A28" s="2">
        <v>2007</v>
      </c>
      <c r="B28" t="s">
        <v>8</v>
      </c>
      <c r="C28" s="11">
        <v>104.4</v>
      </c>
      <c r="D28">
        <v>123.7</v>
      </c>
      <c r="E28">
        <v>112.7</v>
      </c>
      <c r="F28" s="11">
        <v>97.4</v>
      </c>
      <c r="G28" s="21">
        <v>4.3</v>
      </c>
      <c r="H28" s="65">
        <f t="shared" si="2"/>
        <v>94.648420509917301</v>
      </c>
      <c r="I28" s="4">
        <f t="shared" si="0"/>
        <v>0.27549257592908527</v>
      </c>
    </row>
    <row r="29" spans="1:9" ht="15" hidden="1" x14ac:dyDescent="0.2">
      <c r="A29" s="10">
        <f>A28</f>
        <v>2007</v>
      </c>
      <c r="B29" t="s">
        <v>9</v>
      </c>
      <c r="C29" s="11">
        <v>104.4</v>
      </c>
      <c r="D29">
        <v>123.1</v>
      </c>
      <c r="E29">
        <v>112.8</v>
      </c>
      <c r="F29" s="11">
        <v>97.6</v>
      </c>
      <c r="G29">
        <v>4.37</v>
      </c>
      <c r="H29" s="65">
        <f t="shared" si="2"/>
        <v>94.690506249993803</v>
      </c>
      <c r="I29" s="4">
        <f t="shared" si="0"/>
        <v>4.4465337984263359E-2</v>
      </c>
    </row>
    <row r="30" spans="1:9" ht="15" hidden="1" x14ac:dyDescent="0.2">
      <c r="A30" s="12">
        <f t="shared" ref="A30:A39" si="4">A29</f>
        <v>2007</v>
      </c>
      <c r="B30" s="13" t="s">
        <v>10</v>
      </c>
      <c r="C30" s="14">
        <v>104.4</v>
      </c>
      <c r="D30" s="13">
        <v>118.5</v>
      </c>
      <c r="E30" s="13">
        <v>112.4</v>
      </c>
      <c r="F30" s="14">
        <v>97.9</v>
      </c>
      <c r="G30" s="15">
        <v>4.46</v>
      </c>
      <c r="H30" s="66">
        <f t="shared" si="2"/>
        <v>94.256195507008883</v>
      </c>
      <c r="I30" s="4">
        <f t="shared" si="0"/>
        <v>-0.45866345020723576</v>
      </c>
    </row>
    <row r="31" spans="1:9" ht="15" hidden="1" x14ac:dyDescent="0.2">
      <c r="A31" s="17">
        <f t="shared" si="4"/>
        <v>2007</v>
      </c>
      <c r="B31" s="18" t="s">
        <v>11</v>
      </c>
      <c r="C31" s="19">
        <v>105.3</v>
      </c>
      <c r="D31" s="18">
        <v>122.2</v>
      </c>
      <c r="E31" s="18">
        <v>113.6</v>
      </c>
      <c r="F31" s="19">
        <v>98.3</v>
      </c>
      <c r="G31" s="18">
        <v>4.4400000000000004</v>
      </c>
      <c r="H31" s="67">
        <f t="shared" si="2"/>
        <v>95.288944097184881</v>
      </c>
      <c r="I31" s="4">
        <f t="shared" si="0"/>
        <v>1.095682447844188</v>
      </c>
    </row>
    <row r="32" spans="1:9" ht="15" hidden="1" x14ac:dyDescent="0.2">
      <c r="A32" s="10">
        <f t="shared" si="4"/>
        <v>2007</v>
      </c>
      <c r="B32" t="s">
        <v>12</v>
      </c>
      <c r="C32" s="11">
        <v>105.3</v>
      </c>
      <c r="D32">
        <v>123.2</v>
      </c>
      <c r="E32">
        <v>114.1</v>
      </c>
      <c r="F32" s="11">
        <v>98</v>
      </c>
      <c r="G32" s="21">
        <v>4.4800000000000004</v>
      </c>
      <c r="H32" s="65">
        <f t="shared" si="2"/>
        <v>95.46513183110342</v>
      </c>
      <c r="I32" s="4">
        <f t="shared" si="0"/>
        <v>0.18489840095073951</v>
      </c>
    </row>
    <row r="33" spans="1:10" ht="15" hidden="1" x14ac:dyDescent="0.2">
      <c r="A33" s="12">
        <f t="shared" si="4"/>
        <v>2007</v>
      </c>
      <c r="B33" s="13" t="s">
        <v>13</v>
      </c>
      <c r="C33" s="14">
        <v>105.3</v>
      </c>
      <c r="D33" s="13">
        <v>125.1</v>
      </c>
      <c r="E33" s="13">
        <v>114.3</v>
      </c>
      <c r="F33" s="14">
        <v>97.8</v>
      </c>
      <c r="G33" s="13">
        <v>4.59</v>
      </c>
      <c r="H33" s="66">
        <f t="shared" si="2"/>
        <v>95.825002310907621</v>
      </c>
      <c r="I33" s="4">
        <f t="shared" si="0"/>
        <v>0.37696536201393649</v>
      </c>
    </row>
    <row r="34" spans="1:10" ht="15" hidden="1" x14ac:dyDescent="0.2">
      <c r="A34" s="17">
        <f t="shared" si="4"/>
        <v>2007</v>
      </c>
      <c r="B34" s="212" t="s">
        <v>30</v>
      </c>
      <c r="C34" s="19">
        <v>106.3</v>
      </c>
      <c r="D34" s="18">
        <v>124.8</v>
      </c>
      <c r="E34" s="18">
        <v>114.5</v>
      </c>
      <c r="F34" s="19">
        <v>97.6</v>
      </c>
      <c r="G34" s="23">
        <v>4.7699999999999996</v>
      </c>
      <c r="H34" s="67">
        <f t="shared" si="2"/>
        <v>96.5635045311178</v>
      </c>
      <c r="I34" s="4">
        <f t="shared" si="0"/>
        <v>0.77067800928830954</v>
      </c>
    </row>
    <row r="35" spans="1:10" ht="15" hidden="1" x14ac:dyDescent="0.2">
      <c r="A35" s="10">
        <f t="shared" si="4"/>
        <v>2007</v>
      </c>
      <c r="B35" t="s">
        <v>14</v>
      </c>
      <c r="C35" s="11">
        <v>106.3</v>
      </c>
      <c r="D35" s="11">
        <v>127.6</v>
      </c>
      <c r="E35">
        <v>114.4</v>
      </c>
      <c r="F35" s="11">
        <v>97.6</v>
      </c>
      <c r="G35">
        <v>4.91</v>
      </c>
      <c r="H35" s="65">
        <f t="shared" si="2"/>
        <v>97.06601208645553</v>
      </c>
      <c r="I35" s="4">
        <f t="shared" si="0"/>
        <v>0.52039076023363984</v>
      </c>
    </row>
    <row r="36" spans="1:10" ht="15" hidden="1" x14ac:dyDescent="0.2">
      <c r="A36" s="12">
        <f t="shared" si="4"/>
        <v>2007</v>
      </c>
      <c r="B36" s="13" t="s">
        <v>15</v>
      </c>
      <c r="C36" s="14">
        <v>106.3</v>
      </c>
      <c r="D36" s="13">
        <v>128.80000000000001</v>
      </c>
      <c r="E36" s="13">
        <v>113.9</v>
      </c>
      <c r="F36" s="14">
        <v>97.6</v>
      </c>
      <c r="G36" s="15">
        <v>4.8099999999999996</v>
      </c>
      <c r="H36" s="66">
        <f t="shared" si="2"/>
        <v>97.048451031158621</v>
      </c>
      <c r="I36" s="4">
        <f t="shared" si="0"/>
        <v>-1.8091868533001612E-2</v>
      </c>
    </row>
    <row r="37" spans="1:10" ht="15" hidden="1" x14ac:dyDescent="0.2">
      <c r="A37" s="17">
        <f t="shared" si="4"/>
        <v>2007</v>
      </c>
      <c r="B37" s="18" t="s">
        <v>16</v>
      </c>
      <c r="C37" s="19">
        <v>107.5</v>
      </c>
      <c r="D37" s="18">
        <v>128</v>
      </c>
      <c r="E37" s="18">
        <v>113.7</v>
      </c>
      <c r="F37" s="19">
        <v>97.4</v>
      </c>
      <c r="G37" s="18">
        <v>4.82</v>
      </c>
      <c r="H37" s="67">
        <f t="shared" si="2"/>
        <v>97.596384573721011</v>
      </c>
      <c r="I37" s="4">
        <f t="shared" si="0"/>
        <v>0.56459792685044419</v>
      </c>
    </row>
    <row r="38" spans="1:10" ht="15" hidden="1" x14ac:dyDescent="0.2">
      <c r="A38" s="10">
        <f t="shared" si="4"/>
        <v>2007</v>
      </c>
      <c r="B38" t="s">
        <v>17</v>
      </c>
      <c r="C38" s="11">
        <v>107.5</v>
      </c>
      <c r="D38">
        <v>130.69999999999999</v>
      </c>
      <c r="E38">
        <v>114.3</v>
      </c>
      <c r="F38" s="11">
        <v>97.4</v>
      </c>
      <c r="G38" s="21">
        <v>4.84</v>
      </c>
      <c r="H38" s="65">
        <f t="shared" si="2"/>
        <v>97.984528819412418</v>
      </c>
      <c r="I38" s="4">
        <f t="shared" si="0"/>
        <v>0.39770350857435322</v>
      </c>
    </row>
    <row r="39" spans="1:10" ht="15.75" hidden="1" thickBot="1" x14ac:dyDescent="0.25">
      <c r="A39" s="29">
        <f t="shared" si="4"/>
        <v>2007</v>
      </c>
      <c r="B39" s="30" t="s">
        <v>18</v>
      </c>
      <c r="C39" s="31">
        <v>107.5</v>
      </c>
      <c r="D39" s="30">
        <v>131.30000000000001</v>
      </c>
      <c r="E39" s="30">
        <v>114.7</v>
      </c>
      <c r="F39" s="31">
        <v>97.3</v>
      </c>
      <c r="G39" s="30">
        <v>4.8499999999999996</v>
      </c>
      <c r="H39" s="68">
        <f t="shared" si="2"/>
        <v>98.086972839842176</v>
      </c>
      <c r="I39" s="4">
        <f t="shared" si="0"/>
        <v>0.10455122014064502</v>
      </c>
    </row>
    <row r="40" spans="1:10" s="2" customFormat="1" ht="15.75" hidden="1" x14ac:dyDescent="0.25">
      <c r="A40" s="2">
        <v>2008</v>
      </c>
      <c r="B40" s="2" t="s">
        <v>8</v>
      </c>
      <c r="C40" s="7">
        <v>108.6</v>
      </c>
      <c r="D40" s="7">
        <v>142.80000000000001</v>
      </c>
      <c r="E40" s="7">
        <v>115.5</v>
      </c>
      <c r="F40" s="7">
        <v>97.1</v>
      </c>
      <c r="G40" s="8">
        <v>4.7699999999999996</v>
      </c>
      <c r="H40" s="40">
        <f t="shared" si="2"/>
        <v>100</v>
      </c>
      <c r="I40" s="9">
        <f t="shared" si="0"/>
        <v>1.9503376490998887</v>
      </c>
      <c r="J40" s="213"/>
    </row>
    <row r="41" spans="1:10" ht="15" hidden="1" x14ac:dyDescent="0.2">
      <c r="A41" s="10">
        <f>A40</f>
        <v>2008</v>
      </c>
      <c r="B41" t="s">
        <v>9</v>
      </c>
      <c r="C41" s="11">
        <v>108.6</v>
      </c>
      <c r="D41" s="11">
        <v>136.30000000000001</v>
      </c>
      <c r="E41" s="11">
        <v>115.4</v>
      </c>
      <c r="F41" s="11">
        <v>96.7</v>
      </c>
      <c r="G41" s="21">
        <v>4.93</v>
      </c>
      <c r="H41" s="41">
        <f t="shared" si="2"/>
        <v>99.383446750672732</v>
      </c>
      <c r="I41" s="4">
        <f t="shared" si="0"/>
        <v>-0.61655324932726785</v>
      </c>
      <c r="J41" s="33"/>
    </row>
    <row r="42" spans="1:10" ht="15.75" hidden="1" x14ac:dyDescent="0.25">
      <c r="A42" s="12">
        <f t="shared" ref="A42:A51" si="5">A41</f>
        <v>2008</v>
      </c>
      <c r="B42" s="13" t="s">
        <v>10</v>
      </c>
      <c r="C42" s="14">
        <v>108.6</v>
      </c>
      <c r="D42" s="14">
        <v>140.19999999999999</v>
      </c>
      <c r="E42" s="14">
        <v>115.7</v>
      </c>
      <c r="F42" s="14">
        <v>97.6</v>
      </c>
      <c r="G42" s="15">
        <v>4.59</v>
      </c>
      <c r="H42" s="42">
        <f t="shared" si="2"/>
        <v>99.524257885272576</v>
      </c>
      <c r="I42" s="16">
        <f t="shared" si="0"/>
        <v>0.14168469619805207</v>
      </c>
      <c r="J42" s="52"/>
    </row>
    <row r="43" spans="1:10" ht="15" hidden="1" x14ac:dyDescent="0.2">
      <c r="A43" s="17">
        <f t="shared" si="5"/>
        <v>2008</v>
      </c>
      <c r="B43" s="18" t="s">
        <v>11</v>
      </c>
      <c r="C43" s="19">
        <v>109.9</v>
      </c>
      <c r="D43" s="19">
        <v>140.9</v>
      </c>
      <c r="E43" s="19">
        <v>117.1</v>
      </c>
      <c r="F43" s="19">
        <v>97.3</v>
      </c>
      <c r="G43" s="23">
        <v>4.55</v>
      </c>
      <c r="H43" s="43">
        <f t="shared" si="2"/>
        <v>100.34467210919578</v>
      </c>
      <c r="I43" s="20">
        <f t="shared" si="0"/>
        <v>0.82433593714303066</v>
      </c>
    </row>
    <row r="44" spans="1:10" ht="15" hidden="1" x14ac:dyDescent="0.2">
      <c r="A44" s="10">
        <f t="shared" si="5"/>
        <v>2008</v>
      </c>
      <c r="B44" t="s">
        <v>12</v>
      </c>
      <c r="C44" s="11">
        <v>109.9</v>
      </c>
      <c r="D44" s="11">
        <v>149.4</v>
      </c>
      <c r="E44" s="11">
        <v>117.6</v>
      </c>
      <c r="F44" s="11">
        <v>97.3</v>
      </c>
      <c r="G44" s="21">
        <v>4.72</v>
      </c>
      <c r="H44" s="41">
        <f t="shared" si="2"/>
        <v>101.60504538372001</v>
      </c>
      <c r="I44" s="4">
        <f t="shared" si="0"/>
        <v>1.2560440410355618</v>
      </c>
    </row>
    <row r="45" spans="1:10" ht="15" hidden="1" x14ac:dyDescent="0.2">
      <c r="A45" s="12">
        <f t="shared" si="5"/>
        <v>2008</v>
      </c>
      <c r="B45" s="13" t="s">
        <v>13</v>
      </c>
      <c r="C45" s="14">
        <v>109.9</v>
      </c>
      <c r="D45" s="14">
        <v>150.80000000000001</v>
      </c>
      <c r="E45" s="14">
        <v>118</v>
      </c>
      <c r="F45" s="14">
        <v>97.1</v>
      </c>
      <c r="G45" s="15">
        <v>4.9400000000000004</v>
      </c>
      <c r="H45" s="42">
        <f t="shared" si="2"/>
        <v>102.05760964772745</v>
      </c>
      <c r="I45" s="16">
        <f t="shared" si="0"/>
        <v>0.44541514872444393</v>
      </c>
      <c r="J45" s="214"/>
    </row>
    <row r="46" spans="1:10" ht="15" hidden="1" x14ac:dyDescent="0.2">
      <c r="A46" s="17">
        <f t="shared" si="5"/>
        <v>2008</v>
      </c>
      <c r="B46" s="212" t="s">
        <v>30</v>
      </c>
      <c r="C46" s="215">
        <v>111</v>
      </c>
      <c r="D46" s="19">
        <v>157.69999999999999</v>
      </c>
      <c r="E46" s="19">
        <v>118.4</v>
      </c>
      <c r="F46" s="19">
        <v>97</v>
      </c>
      <c r="G46" s="23">
        <v>5.22</v>
      </c>
      <c r="H46" s="43">
        <f t="shared" si="2"/>
        <v>103.85741111629646</v>
      </c>
      <c r="I46" s="20">
        <f t="shared" si="0"/>
        <v>1.7635152094796218</v>
      </c>
      <c r="J46" s="120"/>
    </row>
    <row r="47" spans="1:10" ht="15.75" hidden="1" x14ac:dyDescent="0.25">
      <c r="A47" s="10">
        <f t="shared" si="5"/>
        <v>2008</v>
      </c>
      <c r="B47" t="s">
        <v>14</v>
      </c>
      <c r="C47" s="11">
        <v>111</v>
      </c>
      <c r="D47" s="11">
        <v>165.5</v>
      </c>
      <c r="E47" s="11">
        <v>118.8</v>
      </c>
      <c r="F47" s="11">
        <v>97.2</v>
      </c>
      <c r="G47" s="21">
        <v>5.48</v>
      </c>
      <c r="H47" s="41">
        <f t="shared" si="2"/>
        <v>105.15926978784404</v>
      </c>
      <c r="I47" s="4">
        <f t="shared" si="0"/>
        <v>1.2535057994944576</v>
      </c>
      <c r="J47" s="28"/>
    </row>
    <row r="48" spans="1:10" ht="15" hidden="1" x14ac:dyDescent="0.2">
      <c r="A48" s="12">
        <f t="shared" si="5"/>
        <v>2008</v>
      </c>
      <c r="B48" s="13" t="s">
        <v>15</v>
      </c>
      <c r="C48" s="14">
        <v>111</v>
      </c>
      <c r="D48" s="14">
        <v>166.2</v>
      </c>
      <c r="E48" s="14">
        <v>118.4</v>
      </c>
      <c r="F48" s="14">
        <v>97.6</v>
      </c>
      <c r="G48" s="15">
        <v>5.36</v>
      </c>
      <c r="H48" s="42">
        <f t="shared" si="2"/>
        <v>105.10102927747189</v>
      </c>
      <c r="I48" s="16">
        <f t="shared" si="0"/>
        <v>-5.538314452890631E-2</v>
      </c>
    </row>
    <row r="49" spans="1:13" ht="15" hidden="1" x14ac:dyDescent="0.2">
      <c r="A49" s="17">
        <f t="shared" si="5"/>
        <v>2008</v>
      </c>
      <c r="B49" s="18" t="s">
        <v>16</v>
      </c>
      <c r="C49" s="19">
        <v>112.4</v>
      </c>
      <c r="D49" s="19">
        <v>153.4</v>
      </c>
      <c r="E49" s="19">
        <v>118.6</v>
      </c>
      <c r="F49" s="19">
        <v>97.6</v>
      </c>
      <c r="G49" s="23">
        <v>5.15</v>
      </c>
      <c r="H49" s="43">
        <f t="shared" si="2"/>
        <v>104.1004022871024</v>
      </c>
      <c r="I49" s="20">
        <f t="shared" si="0"/>
        <v>-0.95206202760183489</v>
      </c>
    </row>
    <row r="50" spans="1:13" ht="15" hidden="1" x14ac:dyDescent="0.2">
      <c r="A50" s="10">
        <f t="shared" si="5"/>
        <v>2008</v>
      </c>
      <c r="B50" t="s">
        <v>17</v>
      </c>
      <c r="C50" s="11">
        <v>112.4</v>
      </c>
      <c r="D50" s="11">
        <v>152.5</v>
      </c>
      <c r="E50" s="11">
        <v>119.1</v>
      </c>
      <c r="F50" s="11">
        <v>98</v>
      </c>
      <c r="G50" s="21">
        <v>5.15</v>
      </c>
      <c r="H50" s="41">
        <f t="shared" si="2"/>
        <v>104.06496664481814</v>
      </c>
      <c r="I50" s="4">
        <f t="shared" si="0"/>
        <v>-3.4039870649612267E-2</v>
      </c>
    </row>
    <row r="51" spans="1:13" ht="15.75" hidden="1" thickBot="1" x14ac:dyDescent="0.25">
      <c r="A51" s="29">
        <f t="shared" si="5"/>
        <v>2008</v>
      </c>
      <c r="B51" s="30" t="s">
        <v>18</v>
      </c>
      <c r="C51" s="31">
        <v>112.4</v>
      </c>
      <c r="D51" s="31">
        <v>142</v>
      </c>
      <c r="E51" s="31">
        <v>118.9</v>
      </c>
      <c r="F51" s="31">
        <v>99.5</v>
      </c>
      <c r="G51" s="56">
        <v>5.45</v>
      </c>
      <c r="H51" s="44">
        <f t="shared" si="2"/>
        <v>103.31750424738101</v>
      </c>
      <c r="I51" s="32">
        <f t="shared" si="0"/>
        <v>-0.71826515832968085</v>
      </c>
    </row>
    <row r="52" spans="1:13" ht="15" hidden="1" x14ac:dyDescent="0.2">
      <c r="A52" s="2">
        <v>2009</v>
      </c>
      <c r="B52" t="s">
        <v>8</v>
      </c>
      <c r="C52" s="11">
        <v>113.5</v>
      </c>
      <c r="D52" s="11">
        <v>134.19999999999999</v>
      </c>
      <c r="E52" s="11">
        <v>118.6</v>
      </c>
      <c r="F52" s="11">
        <v>100.3</v>
      </c>
      <c r="G52" s="100">
        <v>4.97</v>
      </c>
      <c r="H52" s="41">
        <f t="shared" si="2"/>
        <v>102.44626518020767</v>
      </c>
      <c r="I52" s="4">
        <f t="shared" si="0"/>
        <v>-0.84326375624333727</v>
      </c>
      <c r="J52" s="213"/>
    </row>
    <row r="53" spans="1:13" ht="15" hidden="1" x14ac:dyDescent="0.2">
      <c r="A53" s="10">
        <f>A52</f>
        <v>2009</v>
      </c>
      <c r="B53" t="s">
        <v>9</v>
      </c>
      <c r="C53" s="11">
        <v>113.5</v>
      </c>
      <c r="D53" s="11">
        <v>123.2</v>
      </c>
      <c r="E53" s="11">
        <v>118.2</v>
      </c>
      <c r="F53" s="11">
        <v>100.3</v>
      </c>
      <c r="G53" s="100">
        <v>4.4400000000000004</v>
      </c>
      <c r="H53" s="41">
        <f t="shared" si="2"/>
        <v>100.44236907631158</v>
      </c>
      <c r="I53" s="4">
        <f t="shared" si="0"/>
        <v>-1.9560460309325587</v>
      </c>
      <c r="J53" s="33"/>
    </row>
    <row r="54" spans="1:13" ht="15.75" hidden="1" x14ac:dyDescent="0.25">
      <c r="A54" s="12">
        <f t="shared" ref="A54:A63" si="6">A53</f>
        <v>2009</v>
      </c>
      <c r="B54" s="13" t="s">
        <v>10</v>
      </c>
      <c r="C54" s="14">
        <v>113.5</v>
      </c>
      <c r="D54" s="14">
        <v>121.5</v>
      </c>
      <c r="E54" s="14">
        <v>117.8</v>
      </c>
      <c r="F54" s="14">
        <v>98.7</v>
      </c>
      <c r="G54" s="102">
        <v>4.42</v>
      </c>
      <c r="H54" s="42">
        <f t="shared" si="2"/>
        <v>100.03882454261429</v>
      </c>
      <c r="I54" s="16">
        <f t="shared" si="0"/>
        <v>-0.40176723967023387</v>
      </c>
      <c r="J54" s="52"/>
    </row>
    <row r="55" spans="1:13" ht="15" hidden="1" x14ac:dyDescent="0.2">
      <c r="A55" s="17">
        <f t="shared" si="6"/>
        <v>2009</v>
      </c>
      <c r="B55" s="18" t="s">
        <v>11</v>
      </c>
      <c r="C55" s="19">
        <v>114.5</v>
      </c>
      <c r="D55" s="19">
        <v>120.9</v>
      </c>
      <c r="E55" s="19">
        <v>119.3</v>
      </c>
      <c r="F55" s="19">
        <v>100.5</v>
      </c>
      <c r="G55" s="99">
        <v>4.1500000000000004</v>
      </c>
      <c r="H55" s="43">
        <f t="shared" si="2"/>
        <v>100.45099393243727</v>
      </c>
      <c r="I55" s="20">
        <f t="shared" si="0"/>
        <v>0.4120094290466228</v>
      </c>
    </row>
    <row r="56" spans="1:13" ht="15" hidden="1" x14ac:dyDescent="0.2">
      <c r="A56" s="10">
        <f t="shared" si="6"/>
        <v>2009</v>
      </c>
      <c r="B56" t="s">
        <v>12</v>
      </c>
      <c r="C56" s="11">
        <v>114.5</v>
      </c>
      <c r="D56" s="11">
        <v>118.4</v>
      </c>
      <c r="E56" s="11">
        <v>119.7</v>
      </c>
      <c r="F56" s="11">
        <v>100.9</v>
      </c>
      <c r="G56" s="100">
        <v>3.93</v>
      </c>
      <c r="H56" s="41">
        <f t="shared" si="2"/>
        <v>99.941426133001983</v>
      </c>
      <c r="I56" s="4">
        <f t="shared" si="0"/>
        <v>-0.50727999742642715</v>
      </c>
      <c r="J56" s="72"/>
    </row>
    <row r="57" spans="1:13" ht="15" hidden="1" x14ac:dyDescent="0.2">
      <c r="A57" s="12">
        <f t="shared" si="6"/>
        <v>2009</v>
      </c>
      <c r="B57" s="13" t="s">
        <v>13</v>
      </c>
      <c r="C57" s="14">
        <v>114.5</v>
      </c>
      <c r="D57" s="14">
        <v>122.3</v>
      </c>
      <c r="E57" s="14">
        <v>119.6</v>
      </c>
      <c r="F57" s="14">
        <v>99.7</v>
      </c>
      <c r="G57" s="102">
        <v>3.89</v>
      </c>
      <c r="H57" s="42">
        <f t="shared" si="2"/>
        <v>100.23724543427278</v>
      </c>
      <c r="I57" s="16">
        <f t="shared" si="0"/>
        <v>0.2959926756269422</v>
      </c>
      <c r="J57" s="216"/>
    </row>
    <row r="58" spans="1:13" ht="15" hidden="1" x14ac:dyDescent="0.2">
      <c r="A58" s="17">
        <f t="shared" si="6"/>
        <v>2009</v>
      </c>
      <c r="B58" s="212" t="s">
        <v>30</v>
      </c>
      <c r="C58" s="19">
        <v>115.6</v>
      </c>
      <c r="D58" s="19">
        <v>123.4</v>
      </c>
      <c r="E58" s="19">
        <v>119.9</v>
      </c>
      <c r="F58" s="19">
        <v>99.9</v>
      </c>
      <c r="G58" s="99">
        <v>3.81</v>
      </c>
      <c r="H58" s="43">
        <f t="shared" si="2"/>
        <v>100.91462050192989</v>
      </c>
      <c r="I58" s="20">
        <f t="shared" si="0"/>
        <v>0.67577182984470152</v>
      </c>
      <c r="J58" s="73"/>
    </row>
    <row r="59" spans="1:13" ht="15" hidden="1" x14ac:dyDescent="0.2">
      <c r="A59" s="10">
        <f t="shared" si="6"/>
        <v>2009</v>
      </c>
      <c r="B59" t="s">
        <v>14</v>
      </c>
      <c r="C59" s="11">
        <v>115.6</v>
      </c>
      <c r="D59" s="11">
        <v>127.5</v>
      </c>
      <c r="E59" s="11">
        <v>120.2</v>
      </c>
      <c r="F59" s="11">
        <v>98.5</v>
      </c>
      <c r="G59" s="100">
        <v>3.69</v>
      </c>
      <c r="H59" s="45">
        <f t="shared" si="2"/>
        <v>101.14278843378494</v>
      </c>
      <c r="I59" s="4">
        <f t="shared" si="0"/>
        <v>0.22609997512767835</v>
      </c>
      <c r="J59" s="33"/>
    </row>
    <row r="60" spans="1:13" ht="15" hidden="1" x14ac:dyDescent="0.2">
      <c r="A60" s="12">
        <f t="shared" si="6"/>
        <v>2009</v>
      </c>
      <c r="B60" s="13" t="s">
        <v>15</v>
      </c>
      <c r="C60" s="14">
        <v>115.6</v>
      </c>
      <c r="D60" s="14">
        <v>124.8</v>
      </c>
      <c r="E60" s="14">
        <v>119.6</v>
      </c>
      <c r="F60" s="14">
        <v>98.3</v>
      </c>
      <c r="G60" s="102">
        <v>3.46</v>
      </c>
      <c r="H60" s="53">
        <f t="shared" si="2"/>
        <v>100.47195565458402</v>
      </c>
      <c r="I60" s="34">
        <f t="shared" si="0"/>
        <v>-0.66325319836331675</v>
      </c>
      <c r="J60" s="213"/>
    </row>
    <row r="61" spans="1:13" ht="15" hidden="1" x14ac:dyDescent="0.2">
      <c r="A61" s="17">
        <f t="shared" si="6"/>
        <v>2009</v>
      </c>
      <c r="B61" s="18" t="s">
        <v>16</v>
      </c>
      <c r="C61" s="19">
        <v>115.8</v>
      </c>
      <c r="D61" s="215">
        <v>131.69999999999999</v>
      </c>
      <c r="E61" s="19">
        <v>119.9</v>
      </c>
      <c r="F61" s="19">
        <v>97.5</v>
      </c>
      <c r="G61" s="99">
        <v>3.36</v>
      </c>
      <c r="H61" s="54">
        <f t="shared" si="2"/>
        <v>101.22472416038572</v>
      </c>
      <c r="I61" s="18">
        <f t="shared" si="0"/>
        <v>0.74923246083679873</v>
      </c>
      <c r="J61" s="73"/>
    </row>
    <row r="62" spans="1:13" ht="15" hidden="1" x14ac:dyDescent="0.2">
      <c r="A62" s="10">
        <f t="shared" si="6"/>
        <v>2009</v>
      </c>
      <c r="B62" t="s">
        <v>17</v>
      </c>
      <c r="C62" s="11">
        <v>115.8</v>
      </c>
      <c r="D62" s="98">
        <v>128.1</v>
      </c>
      <c r="E62" s="11">
        <v>120.1</v>
      </c>
      <c r="F62" s="11">
        <v>97.4</v>
      </c>
      <c r="G62" s="100">
        <v>3.23</v>
      </c>
      <c r="H62" s="53">
        <f t="shared" si="2"/>
        <v>100.63721473803184</v>
      </c>
      <c r="I62">
        <f t="shared" si="0"/>
        <v>-0.58040110973579417</v>
      </c>
      <c r="J62" s="33"/>
    </row>
    <row r="63" spans="1:13" ht="16.5" hidden="1" thickBot="1" x14ac:dyDescent="0.3">
      <c r="A63" s="29">
        <f t="shared" si="6"/>
        <v>2009</v>
      </c>
      <c r="B63" s="30" t="s">
        <v>18</v>
      </c>
      <c r="C63" s="31">
        <v>115.8</v>
      </c>
      <c r="D63">
        <v>128.1</v>
      </c>
      <c r="E63" s="103">
        <v>120.1</v>
      </c>
      <c r="F63" s="31">
        <v>97</v>
      </c>
      <c r="G63" s="104">
        <v>3.69</v>
      </c>
      <c r="H63" s="88">
        <f t="shared" si="2"/>
        <v>101.17875591000654</v>
      </c>
      <c r="I63" s="37">
        <f t="shared" si="0"/>
        <v>0.53811224146493175</v>
      </c>
      <c r="J63" s="52"/>
    </row>
    <row r="64" spans="1:13" ht="15.75" hidden="1" x14ac:dyDescent="0.25">
      <c r="A64" s="2">
        <v>2010</v>
      </c>
      <c r="B64" t="s">
        <v>8</v>
      </c>
      <c r="C64" s="98">
        <v>116.7</v>
      </c>
      <c r="D64" s="204">
        <v>131.69999999999999</v>
      </c>
      <c r="E64" s="204">
        <v>120.1</v>
      </c>
      <c r="F64" s="204">
        <v>96.9</v>
      </c>
      <c r="G64" s="57">
        <v>3.39</v>
      </c>
      <c r="H64" s="45">
        <f t="shared" si="2"/>
        <v>101.71793762201607</v>
      </c>
      <c r="I64" s="36"/>
      <c r="J64" s="52"/>
      <c r="M64" s="11"/>
    </row>
    <row r="65" spans="1:13" ht="15.75" hidden="1" x14ac:dyDescent="0.25">
      <c r="A65" s="10">
        <f>A64</f>
        <v>2010</v>
      </c>
      <c r="B65" t="s">
        <v>9</v>
      </c>
      <c r="C65" s="11">
        <v>116.7</v>
      </c>
      <c r="D65" s="11">
        <v>129.5</v>
      </c>
      <c r="E65" s="11">
        <v>119.9</v>
      </c>
      <c r="F65" s="11">
        <v>96.8</v>
      </c>
      <c r="G65" s="100">
        <v>3.32</v>
      </c>
      <c r="H65" s="41">
        <f t="shared" si="2"/>
        <v>101.34486093673642</v>
      </c>
      <c r="I65" s="36"/>
      <c r="J65" s="52"/>
      <c r="M65" s="11"/>
    </row>
    <row r="66" spans="1:13" ht="15.75" hidden="1" x14ac:dyDescent="0.25">
      <c r="A66" s="12">
        <f t="shared" ref="A66:A75" si="7">A65</f>
        <v>2010</v>
      </c>
      <c r="B66" s="13" t="s">
        <v>10</v>
      </c>
      <c r="C66" s="14">
        <v>116.7</v>
      </c>
      <c r="D66" s="14">
        <v>136.4</v>
      </c>
      <c r="E66" s="14">
        <v>120.2</v>
      </c>
      <c r="F66" s="14">
        <v>97.8</v>
      </c>
      <c r="G66" s="102">
        <v>3.13</v>
      </c>
      <c r="H66" s="42">
        <f t="shared" si="2"/>
        <v>102.04076296881883</v>
      </c>
      <c r="I66" s="36"/>
      <c r="J66" s="52"/>
      <c r="M66" s="11"/>
    </row>
    <row r="67" spans="1:13" ht="15.75" hidden="1" x14ac:dyDescent="0.25">
      <c r="A67" s="17">
        <f t="shared" si="7"/>
        <v>2010</v>
      </c>
      <c r="B67" s="18" t="s">
        <v>11</v>
      </c>
      <c r="C67" s="19">
        <v>117.1</v>
      </c>
      <c r="D67" s="19">
        <v>134.30000000000001</v>
      </c>
      <c r="E67" s="19">
        <v>121.6</v>
      </c>
      <c r="F67" s="19">
        <v>98.1</v>
      </c>
      <c r="G67" s="99">
        <v>3</v>
      </c>
      <c r="H67" s="43">
        <f t="shared" si="2"/>
        <v>101.97301151351795</v>
      </c>
      <c r="I67" s="36"/>
      <c r="J67" s="52"/>
      <c r="M67" s="11"/>
    </row>
    <row r="68" spans="1:13" ht="15.75" hidden="1" x14ac:dyDescent="0.25">
      <c r="A68" s="10">
        <f t="shared" si="7"/>
        <v>2010</v>
      </c>
      <c r="B68" t="s">
        <v>12</v>
      </c>
      <c r="C68" s="11">
        <v>117.1</v>
      </c>
      <c r="D68" s="11">
        <v>139.9</v>
      </c>
      <c r="E68" s="11">
        <v>122.3</v>
      </c>
      <c r="F68" s="11">
        <v>98.4</v>
      </c>
      <c r="G68" s="100">
        <v>2.9</v>
      </c>
      <c r="H68" s="41">
        <f t="shared" si="2"/>
        <v>102.59018325031738</v>
      </c>
      <c r="I68" s="36"/>
      <c r="J68" s="52"/>
      <c r="M68" s="11"/>
    </row>
    <row r="69" spans="1:13" ht="15.75" hidden="1" x14ac:dyDescent="0.25">
      <c r="A69" s="12">
        <f t="shared" si="7"/>
        <v>2010</v>
      </c>
      <c r="B69" s="13" t="s">
        <v>13</v>
      </c>
      <c r="C69" s="14">
        <v>117.1</v>
      </c>
      <c r="D69" s="14">
        <v>144.6</v>
      </c>
      <c r="E69" s="14">
        <v>122.5</v>
      </c>
      <c r="F69" s="14">
        <v>98.9</v>
      </c>
      <c r="G69" s="102">
        <v>2.75</v>
      </c>
      <c r="H69" s="42">
        <f t="shared" si="2"/>
        <v>103.02122460369421</v>
      </c>
      <c r="I69" s="36"/>
      <c r="J69" s="52"/>
      <c r="M69" s="11"/>
    </row>
    <row r="70" spans="1:13" ht="15.75" hidden="1" x14ac:dyDescent="0.25">
      <c r="A70" s="17">
        <f t="shared" si="7"/>
        <v>2010</v>
      </c>
      <c r="B70" s="212" t="s">
        <v>61</v>
      </c>
      <c r="C70" s="19">
        <v>118.4</v>
      </c>
      <c r="D70" s="19">
        <v>146.6</v>
      </c>
      <c r="E70" s="19">
        <v>122.5</v>
      </c>
      <c r="F70" s="19">
        <v>98.7</v>
      </c>
      <c r="G70" s="99">
        <v>2.42</v>
      </c>
      <c r="H70" s="43">
        <f t="shared" si="2"/>
        <v>103.54391995625241</v>
      </c>
      <c r="I70" s="36"/>
      <c r="J70" s="52"/>
      <c r="M70" s="11"/>
    </row>
    <row r="71" spans="1:13" ht="15.75" hidden="1" x14ac:dyDescent="0.25">
      <c r="A71" s="10">
        <f t="shared" si="7"/>
        <v>2010</v>
      </c>
      <c r="B71" t="s">
        <v>14</v>
      </c>
      <c r="C71" s="11">
        <v>118.4</v>
      </c>
      <c r="D71" s="11">
        <v>145.80000000000001</v>
      </c>
      <c r="E71" s="11">
        <v>122.3</v>
      </c>
      <c r="F71" s="11">
        <v>100.4</v>
      </c>
      <c r="G71" s="100">
        <v>2.4900000000000002</v>
      </c>
      <c r="H71" s="45">
        <f t="shared" si="2"/>
        <v>103.68044887758985</v>
      </c>
      <c r="I71" s="36"/>
      <c r="J71" s="52"/>
      <c r="M71" s="11"/>
    </row>
    <row r="72" spans="1:13" ht="15.75" hidden="1" x14ac:dyDescent="0.25">
      <c r="A72" s="12">
        <f t="shared" si="7"/>
        <v>2010</v>
      </c>
      <c r="B72" s="13" t="s">
        <v>15</v>
      </c>
      <c r="C72" s="14">
        <v>118.4</v>
      </c>
      <c r="D72" s="14">
        <v>143.5</v>
      </c>
      <c r="E72" s="14">
        <v>122.3</v>
      </c>
      <c r="F72" s="14">
        <v>100.4</v>
      </c>
      <c r="G72" s="102">
        <v>2.52</v>
      </c>
      <c r="H72" s="53">
        <f t="shared" si="2"/>
        <v>103.44437520283692</v>
      </c>
      <c r="I72" s="36"/>
      <c r="J72" s="52"/>
      <c r="M72" s="11"/>
    </row>
    <row r="73" spans="1:13" ht="15.75" hidden="1" x14ac:dyDescent="0.25">
      <c r="A73" s="17">
        <f t="shared" si="7"/>
        <v>2010</v>
      </c>
      <c r="B73" s="18" t="s">
        <v>16</v>
      </c>
      <c r="C73" s="19">
        <v>118.5</v>
      </c>
      <c r="D73" s="215">
        <v>143.5</v>
      </c>
      <c r="E73" s="19">
        <v>122.7</v>
      </c>
      <c r="F73" s="19">
        <v>99.5</v>
      </c>
      <c r="G73" s="99">
        <v>2.31</v>
      </c>
      <c r="H73" s="54">
        <f t="shared" si="2"/>
        <v>103.17975935042105</v>
      </c>
      <c r="I73" s="36"/>
      <c r="J73" s="52"/>
      <c r="M73" s="11"/>
    </row>
    <row r="74" spans="1:13" ht="15.75" hidden="1" x14ac:dyDescent="0.25">
      <c r="A74" s="10">
        <f t="shared" si="7"/>
        <v>2010</v>
      </c>
      <c r="B74" t="s">
        <v>17</v>
      </c>
      <c r="C74" s="11">
        <v>118.5</v>
      </c>
      <c r="D74" s="98">
        <v>147.4</v>
      </c>
      <c r="E74" s="11">
        <v>123.2</v>
      </c>
      <c r="F74" s="11">
        <v>99.4</v>
      </c>
      <c r="G74" s="100">
        <v>2.42</v>
      </c>
      <c r="H74" s="53">
        <f t="shared" ref="H74:H137" si="8">100+((C74-$C$40)/$C$40*100*$C$2)+((D74-$D$40)/$D$40*100*$D$2)+((E74-$E$40)/$E$40*100*$E$2)+((F74-$F$40)/$F$40*100*$F$2)+((G74-$G$40)/$G$40*100*$G$2)</f>
        <v>103.80777308415638</v>
      </c>
      <c r="I74" s="36"/>
      <c r="J74" s="52"/>
      <c r="M74" s="11"/>
    </row>
    <row r="75" spans="1:13" ht="16.5" hidden="1" thickBot="1" x14ac:dyDescent="0.3">
      <c r="A75" s="29">
        <f t="shared" si="7"/>
        <v>2010</v>
      </c>
      <c r="B75" s="30" t="s">
        <v>18</v>
      </c>
      <c r="C75" s="31">
        <v>118.5</v>
      </c>
      <c r="D75">
        <v>143.6</v>
      </c>
      <c r="E75" s="103">
        <v>123.1</v>
      </c>
      <c r="F75" s="31">
        <v>98.7</v>
      </c>
      <c r="G75" s="104">
        <v>2.85</v>
      </c>
      <c r="H75" s="88">
        <f t="shared" si="8"/>
        <v>103.82446466259715</v>
      </c>
      <c r="I75" s="36"/>
      <c r="J75" s="52"/>
      <c r="M75" s="11"/>
    </row>
    <row r="76" spans="1:13" ht="15" hidden="1" x14ac:dyDescent="0.2">
      <c r="A76" s="2">
        <v>2011</v>
      </c>
      <c r="B76" t="s">
        <v>8</v>
      </c>
      <c r="C76" s="98">
        <v>119.4</v>
      </c>
      <c r="D76" s="204">
        <v>147.30000000000001</v>
      </c>
      <c r="E76" s="204">
        <v>123.2</v>
      </c>
      <c r="F76" s="204">
        <v>97.8</v>
      </c>
      <c r="G76" s="57">
        <v>2.77</v>
      </c>
      <c r="H76" s="45">
        <f t="shared" si="8"/>
        <v>104.58505674273317</v>
      </c>
      <c r="I76" s="49">
        <f>(H112-H63)/H63*100</f>
        <v>8.1678221201793431</v>
      </c>
      <c r="J76" s="213"/>
    </row>
    <row r="77" spans="1:13" ht="15" hidden="1" x14ac:dyDescent="0.2">
      <c r="A77" s="10">
        <f>A76</f>
        <v>2011</v>
      </c>
      <c r="B77" t="s">
        <v>9</v>
      </c>
      <c r="C77" s="98">
        <v>119.4</v>
      </c>
      <c r="D77" s="98">
        <v>151.19999999999999</v>
      </c>
      <c r="E77" s="98">
        <v>123.3</v>
      </c>
      <c r="F77" s="98">
        <v>98.2</v>
      </c>
      <c r="G77" s="100">
        <v>2.68</v>
      </c>
      <c r="H77" s="45">
        <f t="shared" si="8"/>
        <v>104.98013649700204</v>
      </c>
      <c r="I77" s="49">
        <f t="shared" ref="I77:I87" si="9">(H113-H112)/H112*100</f>
        <v>0.21800821256603609</v>
      </c>
      <c r="J77" s="33"/>
    </row>
    <row r="78" spans="1:13" ht="15.75" hidden="1" x14ac:dyDescent="0.25">
      <c r="A78" s="12">
        <f t="shared" ref="A78:A87" si="10">A77</f>
        <v>2011</v>
      </c>
      <c r="B78" s="13" t="s">
        <v>10</v>
      </c>
      <c r="C78" s="101">
        <v>119.4</v>
      </c>
      <c r="D78" s="101">
        <v>156.6</v>
      </c>
      <c r="E78" s="101">
        <v>123.4</v>
      </c>
      <c r="F78" s="101">
        <v>99</v>
      </c>
      <c r="G78" s="102">
        <v>2.91</v>
      </c>
      <c r="H78" s="93">
        <f t="shared" si="8"/>
        <v>105.99337858333936</v>
      </c>
      <c r="I78" s="50">
        <f t="shared" si="9"/>
        <v>-0.2394424983724058</v>
      </c>
      <c r="J78" s="52"/>
    </row>
    <row r="79" spans="1:13" ht="15" hidden="1" x14ac:dyDescent="0.2">
      <c r="A79" s="17">
        <f t="shared" si="10"/>
        <v>2011</v>
      </c>
      <c r="B79" s="18" t="s">
        <v>11</v>
      </c>
      <c r="C79" s="215">
        <v>119.8</v>
      </c>
      <c r="D79" s="215">
        <v>160</v>
      </c>
      <c r="E79" s="215">
        <v>124.9</v>
      </c>
      <c r="F79" s="215">
        <v>98.5</v>
      </c>
      <c r="G79" s="99">
        <v>2.96</v>
      </c>
      <c r="H79" s="94">
        <f t="shared" si="8"/>
        <v>106.73958017361328</v>
      </c>
      <c r="I79" s="51">
        <f t="shared" si="9"/>
        <v>0.34699220300847483</v>
      </c>
    </row>
    <row r="80" spans="1:13" ht="15" hidden="1" x14ac:dyDescent="0.2">
      <c r="A80" s="10">
        <f t="shared" si="10"/>
        <v>2011</v>
      </c>
      <c r="B80" t="s">
        <v>12</v>
      </c>
      <c r="C80" s="98">
        <f>C79</f>
        <v>119.8</v>
      </c>
      <c r="D80" s="98">
        <v>163.69999999999999</v>
      </c>
      <c r="E80" s="98">
        <v>125.6</v>
      </c>
      <c r="F80" s="98">
        <v>98.5</v>
      </c>
      <c r="G80" s="100">
        <v>3.07</v>
      </c>
      <c r="H80" s="45">
        <f t="shared" si="8"/>
        <v>107.36690599244854</v>
      </c>
      <c r="I80" s="49">
        <f t="shared" si="9"/>
        <v>-0.15096625321726856</v>
      </c>
      <c r="J80" s="72"/>
    </row>
    <row r="81" spans="1:10" ht="15" hidden="1" x14ac:dyDescent="0.2">
      <c r="A81" s="12">
        <f t="shared" si="10"/>
        <v>2011</v>
      </c>
      <c r="B81" s="13" t="s">
        <v>13</v>
      </c>
      <c r="C81" s="101">
        <f t="shared" ref="C81:C87" si="11">C79</f>
        <v>119.8</v>
      </c>
      <c r="D81" s="101">
        <v>169.4</v>
      </c>
      <c r="E81" s="101">
        <v>126.1</v>
      </c>
      <c r="F81" s="101">
        <v>97.8</v>
      </c>
      <c r="G81" s="102">
        <v>3</v>
      </c>
      <c r="H81" s="93">
        <f t="shared" si="8"/>
        <v>107.9271775757901</v>
      </c>
      <c r="I81" s="50">
        <f t="shared" si="9"/>
        <v>-0.13944128299499509</v>
      </c>
      <c r="J81" s="216"/>
    </row>
    <row r="82" spans="1:10" ht="15" hidden="1" x14ac:dyDescent="0.2">
      <c r="A82" s="17">
        <f t="shared" si="10"/>
        <v>2011</v>
      </c>
      <c r="B82" s="212" t="s">
        <v>30</v>
      </c>
      <c r="C82" s="215">
        <v>120.4</v>
      </c>
      <c r="D82" s="215">
        <v>163.5</v>
      </c>
      <c r="E82" s="215">
        <v>126.3</v>
      </c>
      <c r="F82" s="215">
        <v>97</v>
      </c>
      <c r="G82" s="99">
        <v>2.85</v>
      </c>
      <c r="H82" s="94">
        <f t="shared" si="8"/>
        <v>107.30731154423297</v>
      </c>
      <c r="I82" s="51">
        <f t="shared" si="9"/>
        <v>-3.7741487679260721E-2</v>
      </c>
      <c r="J82" s="73"/>
    </row>
    <row r="83" spans="1:10" ht="15" hidden="1" x14ac:dyDescent="0.2">
      <c r="A83" s="10">
        <f t="shared" si="10"/>
        <v>2011</v>
      </c>
      <c r="B83" t="s">
        <v>14</v>
      </c>
      <c r="C83" s="98">
        <f>C82</f>
        <v>120.4</v>
      </c>
      <c r="D83" s="98">
        <v>167.3</v>
      </c>
      <c r="E83" s="98">
        <v>126</v>
      </c>
      <c r="F83" s="98">
        <v>96.9</v>
      </c>
      <c r="G83" s="57">
        <v>2.89</v>
      </c>
      <c r="H83" s="45">
        <f t="shared" si="8"/>
        <v>107.77995894618688</v>
      </c>
      <c r="I83" s="49">
        <f t="shared" si="9"/>
        <v>0.19732922884738852</v>
      </c>
      <c r="J83" s="33"/>
    </row>
    <row r="84" spans="1:10" ht="15" hidden="1" x14ac:dyDescent="0.2">
      <c r="A84" s="12">
        <f t="shared" si="10"/>
        <v>2011</v>
      </c>
      <c r="B84" s="13" t="s">
        <v>15</v>
      </c>
      <c r="C84" s="101">
        <f t="shared" si="11"/>
        <v>120.4</v>
      </c>
      <c r="D84" s="101">
        <v>169.1</v>
      </c>
      <c r="E84" s="101">
        <v>125.9</v>
      </c>
      <c r="F84" s="101">
        <v>96.6</v>
      </c>
      <c r="G84" s="102">
        <v>2.7</v>
      </c>
      <c r="H84" s="53">
        <f t="shared" si="8"/>
        <v>107.72051815768444</v>
      </c>
      <c r="I84" s="34">
        <f t="shared" si="9"/>
        <v>-0.17700392370488663</v>
      </c>
      <c r="J84" s="213"/>
    </row>
    <row r="85" spans="1:10" ht="15" hidden="1" x14ac:dyDescent="0.2">
      <c r="A85" s="17">
        <f t="shared" si="10"/>
        <v>2011</v>
      </c>
      <c r="B85" s="18" t="s">
        <v>16</v>
      </c>
      <c r="C85" s="215">
        <v>120.8</v>
      </c>
      <c r="D85" s="215">
        <v>165.3</v>
      </c>
      <c r="E85" s="215">
        <v>125.9</v>
      </c>
      <c r="F85" s="215">
        <v>97.2</v>
      </c>
      <c r="G85" s="99">
        <v>2.39</v>
      </c>
      <c r="H85" s="54">
        <f t="shared" si="8"/>
        <v>107.15480734386321</v>
      </c>
      <c r="I85" s="35">
        <f t="shared" si="9"/>
        <v>0.19383304712299129</v>
      </c>
      <c r="J85" s="73"/>
    </row>
    <row r="86" spans="1:10" ht="15" hidden="1" x14ac:dyDescent="0.2">
      <c r="A86" s="10">
        <f t="shared" si="10"/>
        <v>2011</v>
      </c>
      <c r="B86" t="s">
        <v>17</v>
      </c>
      <c r="C86" s="98">
        <f>C85</f>
        <v>120.8</v>
      </c>
      <c r="D86" s="98">
        <v>168.5</v>
      </c>
      <c r="E86" s="98">
        <v>126.3</v>
      </c>
      <c r="F86" s="98">
        <v>96.9</v>
      </c>
      <c r="G86" s="100">
        <v>2.19</v>
      </c>
      <c r="H86" s="53">
        <f t="shared" si="8"/>
        <v>107.28408664030727</v>
      </c>
      <c r="I86" s="36">
        <f t="shared" si="9"/>
        <v>-0.18896408970186979</v>
      </c>
      <c r="J86" s="33"/>
    </row>
    <row r="87" spans="1:10" ht="15.75" hidden="1" thickBot="1" x14ac:dyDescent="0.25">
      <c r="A87" s="29">
        <f t="shared" si="10"/>
        <v>2011</v>
      </c>
      <c r="B87" s="30" t="s">
        <v>18</v>
      </c>
      <c r="C87" s="103">
        <f t="shared" si="11"/>
        <v>120.8</v>
      </c>
      <c r="D87" s="103">
        <v>169.8</v>
      </c>
      <c r="E87" s="103">
        <v>126.5</v>
      </c>
      <c r="F87" s="103">
        <v>98.1</v>
      </c>
      <c r="G87" s="104">
        <v>2.54</v>
      </c>
      <c r="H87" s="88">
        <f t="shared" si="8"/>
        <v>108.00417847192873</v>
      </c>
      <c r="I87" s="37">
        <f t="shared" si="9"/>
        <v>-0.44736015762392245</v>
      </c>
      <c r="J87" s="33"/>
    </row>
    <row r="88" spans="1:10" ht="15" hidden="1" x14ac:dyDescent="0.2">
      <c r="A88" s="2">
        <v>2012</v>
      </c>
      <c r="B88" t="s">
        <v>8</v>
      </c>
      <c r="C88" s="215">
        <v>121.3</v>
      </c>
      <c r="D88" s="204">
        <v>173.6</v>
      </c>
      <c r="E88" s="98">
        <v>126.4</v>
      </c>
      <c r="F88" s="98">
        <v>97.6</v>
      </c>
      <c r="G88" s="57">
        <v>2.23</v>
      </c>
      <c r="H88" s="45">
        <f t="shared" si="8"/>
        <v>108.28959502910448</v>
      </c>
      <c r="I88" s="49">
        <f>(H76-H123)/H123*100</f>
        <v>-4.0289552892457694</v>
      </c>
      <c r="J88" s="213"/>
    </row>
    <row r="89" spans="1:10" ht="15" hidden="1" x14ac:dyDescent="0.2">
      <c r="A89" s="10">
        <f>A88</f>
        <v>2012</v>
      </c>
      <c r="B89" t="s">
        <v>9</v>
      </c>
      <c r="C89">
        <f>C88</f>
        <v>121.3</v>
      </c>
      <c r="D89" s="98">
        <v>169.6</v>
      </c>
      <c r="E89" s="98">
        <v>126.4</v>
      </c>
      <c r="F89" s="98">
        <v>98.3</v>
      </c>
      <c r="G89" s="100">
        <v>1.87</v>
      </c>
      <c r="H89" s="45">
        <f t="shared" si="8"/>
        <v>107.42545592963126</v>
      </c>
      <c r="I89" s="49">
        <f t="shared" ref="I89:I99" si="12">(H77-H76)/H76*100</f>
        <v>0.37775927706451662</v>
      </c>
      <c r="J89" s="33"/>
    </row>
    <row r="90" spans="1:10" ht="15.75" hidden="1" x14ac:dyDescent="0.25">
      <c r="A90" s="12">
        <f t="shared" ref="A90:A99" si="13">A89</f>
        <v>2012</v>
      </c>
      <c r="B90" s="13" t="s">
        <v>10</v>
      </c>
      <c r="C90" s="13">
        <f>C88</f>
        <v>121.3</v>
      </c>
      <c r="D90" s="101">
        <v>174.9</v>
      </c>
      <c r="E90" s="101">
        <v>126.8</v>
      </c>
      <c r="F90" s="101">
        <v>99.2</v>
      </c>
      <c r="G90" s="102">
        <v>1.97</v>
      </c>
      <c r="H90" s="93">
        <f t="shared" si="8"/>
        <v>108.29331925732106</v>
      </c>
      <c r="I90" s="50">
        <f t="shared" si="12"/>
        <v>0.96517505134532178</v>
      </c>
      <c r="J90" s="52"/>
    </row>
    <row r="91" spans="1:10" ht="15" hidden="1" x14ac:dyDescent="0.2">
      <c r="A91" s="17">
        <f t="shared" si="13"/>
        <v>2012</v>
      </c>
      <c r="B91" s="18" t="s">
        <v>11</v>
      </c>
      <c r="C91" s="98">
        <v>122.1</v>
      </c>
      <c r="D91" s="98">
        <v>177.5</v>
      </c>
      <c r="E91" s="98">
        <v>128.4</v>
      </c>
      <c r="F91" s="98">
        <v>99.9</v>
      </c>
      <c r="G91" s="99">
        <v>2</v>
      </c>
      <c r="H91" s="94">
        <f t="shared" si="8"/>
        <v>109.25827194239672</v>
      </c>
      <c r="I91" s="51">
        <f t="shared" si="12"/>
        <v>0.704007741094126</v>
      </c>
    </row>
    <row r="92" spans="1:10" ht="15" hidden="1" x14ac:dyDescent="0.2">
      <c r="A92" s="10">
        <f t="shared" si="13"/>
        <v>2012</v>
      </c>
      <c r="B92" t="s">
        <v>12</v>
      </c>
      <c r="C92" s="98">
        <f>C91</f>
        <v>122.1</v>
      </c>
      <c r="D92" s="98">
        <v>180.6</v>
      </c>
      <c r="E92" s="98">
        <v>129</v>
      </c>
      <c r="F92" s="98">
        <v>99.3</v>
      </c>
      <c r="G92" s="100">
        <v>1.94</v>
      </c>
      <c r="H92" s="45">
        <f t="shared" si="8"/>
        <v>109.53779353454972</v>
      </c>
      <c r="I92" s="49">
        <f t="shared" si="12"/>
        <v>0.58771621343732716</v>
      </c>
      <c r="J92" s="72"/>
    </row>
    <row r="93" spans="1:10" ht="15" hidden="1" x14ac:dyDescent="0.2">
      <c r="A93" s="12">
        <f t="shared" si="13"/>
        <v>2012</v>
      </c>
      <c r="B93" s="13" t="s">
        <v>13</v>
      </c>
      <c r="C93" s="101">
        <f t="shared" ref="C93:C99" si="14">C91</f>
        <v>122.1</v>
      </c>
      <c r="D93" s="101">
        <v>178.2</v>
      </c>
      <c r="E93" s="101">
        <v>129</v>
      </c>
      <c r="F93" s="101">
        <v>99.8</v>
      </c>
      <c r="G93" s="102">
        <v>1.81</v>
      </c>
      <c r="H93" s="93">
        <f t="shared" si="8"/>
        <v>109.13490121154003</v>
      </c>
      <c r="I93" s="50">
        <f t="shared" si="12"/>
        <v>0.52182893617234893</v>
      </c>
      <c r="J93" s="216"/>
    </row>
    <row r="94" spans="1:10" ht="15" hidden="1" x14ac:dyDescent="0.2">
      <c r="A94" s="17">
        <f t="shared" si="13"/>
        <v>2012</v>
      </c>
      <c r="B94" s="212" t="s">
        <v>30</v>
      </c>
      <c r="C94" s="98">
        <v>122.6</v>
      </c>
      <c r="D94" s="98">
        <v>173.7</v>
      </c>
      <c r="E94" s="98">
        <v>129</v>
      </c>
      <c r="F94" s="98">
        <v>99.6</v>
      </c>
      <c r="G94" s="99">
        <v>1.54</v>
      </c>
      <c r="H94" s="94">
        <f t="shared" si="8"/>
        <v>108.51726978812567</v>
      </c>
      <c r="I94" s="51">
        <f t="shared" si="12"/>
        <v>-0.57433729435000969</v>
      </c>
      <c r="J94" s="73"/>
    </row>
    <row r="95" spans="1:10" ht="15" hidden="1" x14ac:dyDescent="0.2">
      <c r="A95" s="10">
        <f t="shared" si="13"/>
        <v>2012</v>
      </c>
      <c r="B95" t="s">
        <v>14</v>
      </c>
      <c r="C95" s="98">
        <f>C94</f>
        <v>122.6</v>
      </c>
      <c r="D95" s="98">
        <v>168.3</v>
      </c>
      <c r="E95" s="98">
        <v>128.80000000000001</v>
      </c>
      <c r="F95" s="98">
        <v>101</v>
      </c>
      <c r="G95" s="100">
        <v>1.64</v>
      </c>
      <c r="H95" s="45">
        <f t="shared" si="8"/>
        <v>108.11610912573073</v>
      </c>
      <c r="I95" s="49">
        <f t="shared" si="12"/>
        <v>0.44046150737741446</v>
      </c>
      <c r="J95" s="33"/>
    </row>
    <row r="96" spans="1:10" ht="15" hidden="1" x14ac:dyDescent="0.2">
      <c r="A96" s="12">
        <f t="shared" si="13"/>
        <v>2012</v>
      </c>
      <c r="B96" s="13" t="s">
        <v>15</v>
      </c>
      <c r="C96" s="101">
        <f t="shared" si="14"/>
        <v>122.6</v>
      </c>
      <c r="D96" s="101">
        <v>175.4</v>
      </c>
      <c r="E96" s="101">
        <v>128.80000000000001</v>
      </c>
      <c r="F96" s="101">
        <v>101.1</v>
      </c>
      <c r="G96" s="102">
        <v>1.44</v>
      </c>
      <c r="H96" s="53">
        <f t="shared" si="8"/>
        <v>108.71904368898144</v>
      </c>
      <c r="I96" s="34">
        <f t="shared" si="12"/>
        <v>-5.5150130955348008E-2</v>
      </c>
      <c r="J96" s="213"/>
    </row>
    <row r="97" spans="1:10" ht="15" hidden="1" x14ac:dyDescent="0.2">
      <c r="A97" s="17">
        <f t="shared" si="13"/>
        <v>2012</v>
      </c>
      <c r="B97" t="s">
        <v>16</v>
      </c>
      <c r="C97" s="98">
        <v>122.8</v>
      </c>
      <c r="D97" s="98">
        <v>180.3</v>
      </c>
      <c r="E97" s="98">
        <v>129.19999999999999</v>
      </c>
      <c r="F97" s="98">
        <v>101.8</v>
      </c>
      <c r="G97" s="100">
        <v>1.46</v>
      </c>
      <c r="H97" s="54">
        <f t="shared" si="8"/>
        <v>109.53061868569037</v>
      </c>
      <c r="I97" s="35">
        <f t="shared" si="12"/>
        <v>-0.52516532922086634</v>
      </c>
      <c r="J97" s="73"/>
    </row>
    <row r="98" spans="1:10" ht="15" hidden="1" x14ac:dyDescent="0.2">
      <c r="A98" s="10">
        <f t="shared" si="13"/>
        <v>2012</v>
      </c>
      <c r="B98" t="s">
        <v>17</v>
      </c>
      <c r="C98" s="98">
        <f>C97</f>
        <v>122.8</v>
      </c>
      <c r="D98" s="98">
        <v>180.5</v>
      </c>
      <c r="E98" s="98">
        <v>129.5</v>
      </c>
      <c r="F98" s="98">
        <v>101.4</v>
      </c>
      <c r="G98" s="100">
        <v>1.54</v>
      </c>
      <c r="H98" s="53">
        <f t="shared" si="8"/>
        <v>109.63876118087016</v>
      </c>
      <c r="I98" s="36">
        <f t="shared" si="12"/>
        <v>0.12064722026814184</v>
      </c>
    </row>
    <row r="99" spans="1:10" ht="15" hidden="1" customHeight="1" thickBot="1" x14ac:dyDescent="0.25">
      <c r="A99" s="29">
        <f t="shared" si="13"/>
        <v>2012</v>
      </c>
      <c r="B99" s="30" t="s">
        <v>18</v>
      </c>
      <c r="C99" s="103">
        <f t="shared" si="14"/>
        <v>122.8</v>
      </c>
      <c r="D99" s="103">
        <f>D98</f>
        <v>180.5</v>
      </c>
      <c r="E99" s="103">
        <v>129.4</v>
      </c>
      <c r="F99" s="103">
        <v>100.5</v>
      </c>
      <c r="G99" s="104">
        <v>1.67</v>
      </c>
      <c r="H99" s="88">
        <f t="shared" si="8"/>
        <v>109.71193763101257</v>
      </c>
      <c r="I99" s="37">
        <f t="shared" si="12"/>
        <v>0.67120097133857404</v>
      </c>
    </row>
    <row r="100" spans="1:10" ht="15" hidden="1" x14ac:dyDescent="0.2">
      <c r="A100" s="2">
        <v>2013</v>
      </c>
      <c r="B100" t="s">
        <v>8</v>
      </c>
      <c r="C100" s="109">
        <f>123.1*1.0101</f>
        <v>124.34330999999999</v>
      </c>
      <c r="D100" s="98">
        <v>174.9</v>
      </c>
      <c r="E100" s="98">
        <v>129.30000000000001</v>
      </c>
      <c r="F100" s="98">
        <v>100.2</v>
      </c>
      <c r="G100" s="100">
        <v>1.47</v>
      </c>
      <c r="H100" s="110">
        <f t="shared" si="8"/>
        <v>109.61162330376909</v>
      </c>
      <c r="J100" s="112" t="s">
        <v>40</v>
      </c>
    </row>
    <row r="101" spans="1:10" ht="15" hidden="1" x14ac:dyDescent="0.2">
      <c r="A101" s="10">
        <f>A100</f>
        <v>2013</v>
      </c>
      <c r="B101" t="s">
        <v>9</v>
      </c>
      <c r="C101" s="109">
        <f>123.1*1.0101</f>
        <v>124.34330999999999</v>
      </c>
      <c r="D101" s="98">
        <v>170.5</v>
      </c>
      <c r="E101" s="98">
        <v>128.9</v>
      </c>
      <c r="F101" s="98">
        <v>100.7</v>
      </c>
      <c r="G101" s="100">
        <v>1.44</v>
      </c>
      <c r="H101" s="110">
        <f t="shared" si="8"/>
        <v>109.06871627848055</v>
      </c>
      <c r="J101" s="112" t="s">
        <v>41</v>
      </c>
    </row>
    <row r="102" spans="1:10" ht="15" hidden="1" x14ac:dyDescent="0.2">
      <c r="A102" s="12">
        <f t="shared" ref="A102:A111" si="15">A101</f>
        <v>2013</v>
      </c>
      <c r="B102" s="13" t="s">
        <v>10</v>
      </c>
      <c r="C102" s="101">
        <f>123.1*1.0101</f>
        <v>124.34330999999999</v>
      </c>
      <c r="D102" s="101">
        <v>171.1</v>
      </c>
      <c r="E102" s="101">
        <v>128.4</v>
      </c>
      <c r="F102" s="101">
        <v>99.5</v>
      </c>
      <c r="G102" s="102">
        <v>1.69</v>
      </c>
      <c r="H102" s="93">
        <f t="shared" si="8"/>
        <v>109.30875268340239</v>
      </c>
    </row>
    <row r="103" spans="1:10" ht="15" hidden="1" x14ac:dyDescent="0.2">
      <c r="A103" s="17">
        <f t="shared" si="15"/>
        <v>2013</v>
      </c>
      <c r="B103" s="18" t="s">
        <v>11</v>
      </c>
      <c r="C103" s="98">
        <f>123.7 * 1.0101</f>
        <v>124.94937</v>
      </c>
      <c r="D103" s="98">
        <v>174.5</v>
      </c>
      <c r="E103" s="98">
        <v>129.9</v>
      </c>
      <c r="F103" s="98">
        <f>F102*(1+(((SUM(F$88:F$99)-SUM(F$76:F$87))/SUM(F$76:F$87))/12))</f>
        <v>99.690938166311312</v>
      </c>
      <c r="G103" s="100">
        <v>1.54</v>
      </c>
      <c r="H103" s="94">
        <f t="shared" si="8"/>
        <v>109.98126889310322</v>
      </c>
    </row>
    <row r="104" spans="1:10" ht="15" hidden="1" x14ac:dyDescent="0.2">
      <c r="A104" s="10">
        <f t="shared" si="15"/>
        <v>2013</v>
      </c>
      <c r="B104" t="s">
        <v>12</v>
      </c>
      <c r="C104" s="98">
        <f>123.7 * 1.0101</f>
        <v>124.94937</v>
      </c>
      <c r="D104" s="98">
        <v>171.1</v>
      </c>
      <c r="E104" s="98">
        <f>E103*(1+(((SUM(E$88:E$99)-SUM(E$76:E$87))/SUM(E$76:E$87))/12))</f>
        <v>130.16857290142343</v>
      </c>
      <c r="F104" s="98">
        <v>99.6</v>
      </c>
      <c r="G104" s="100">
        <v>1.45</v>
      </c>
      <c r="H104" s="45">
        <f t="shared" si="8"/>
        <v>109.4734730209545</v>
      </c>
    </row>
    <row r="105" spans="1:10" ht="15" hidden="1" x14ac:dyDescent="0.2">
      <c r="A105" s="12">
        <f t="shared" si="15"/>
        <v>2013</v>
      </c>
      <c r="B105" s="13" t="s">
        <v>13</v>
      </c>
      <c r="C105" s="101">
        <f>123.7 * 1.0101</f>
        <v>124.94937</v>
      </c>
      <c r="D105" s="101">
        <v>164.4</v>
      </c>
      <c r="E105" s="101">
        <v>130</v>
      </c>
      <c r="F105" s="101">
        <v>100.5</v>
      </c>
      <c r="G105" s="102">
        <v>1.33</v>
      </c>
      <c r="H105" s="93">
        <f t="shared" si="8"/>
        <v>108.59665368749857</v>
      </c>
    </row>
    <row r="106" spans="1:10" ht="15" hidden="1" x14ac:dyDescent="0.2">
      <c r="A106" s="17">
        <f t="shared" si="15"/>
        <v>2013</v>
      </c>
      <c r="B106" s="212" t="s">
        <v>30</v>
      </c>
      <c r="C106" s="98">
        <f>124.1 * 1.0101</f>
        <v>125.35341</v>
      </c>
      <c r="D106" s="98">
        <v>165.7</v>
      </c>
      <c r="E106" s="98">
        <v>130.1</v>
      </c>
      <c r="F106" s="98">
        <v>100.1</v>
      </c>
      <c r="G106" s="100">
        <v>1.38</v>
      </c>
      <c r="H106" s="94">
        <f t="shared" si="8"/>
        <v>109.00738642005831</v>
      </c>
    </row>
    <row r="107" spans="1:10" ht="15" hidden="1" x14ac:dyDescent="0.2">
      <c r="A107" s="10">
        <f t="shared" si="15"/>
        <v>2013</v>
      </c>
      <c r="B107" t="s">
        <v>14</v>
      </c>
      <c r="C107" s="98">
        <f>124.1 * 1.0101</f>
        <v>125.35341</v>
      </c>
      <c r="D107" s="98">
        <v>165.3</v>
      </c>
      <c r="E107" s="98">
        <v>130</v>
      </c>
      <c r="F107" s="98">
        <v>100.2</v>
      </c>
      <c r="G107" s="100">
        <v>1.56</v>
      </c>
      <c r="H107" s="45">
        <f t="shared" si="8"/>
        <v>109.18852485490916</v>
      </c>
    </row>
    <row r="108" spans="1:10" ht="15" hidden="1" x14ac:dyDescent="0.2">
      <c r="A108" s="12">
        <f t="shared" si="15"/>
        <v>2013</v>
      </c>
      <c r="B108" s="13" t="s">
        <v>15</v>
      </c>
      <c r="C108" s="101">
        <f>124.1 * 1.0101</f>
        <v>125.35341</v>
      </c>
      <c r="D108" s="101">
        <v>169.4</v>
      </c>
      <c r="E108" s="101">
        <v>129.6</v>
      </c>
      <c r="F108" s="101">
        <v>99.6</v>
      </c>
      <c r="G108" s="102">
        <v>1.57</v>
      </c>
      <c r="H108" s="114">
        <f t="shared" si="8"/>
        <v>109.60588031131111</v>
      </c>
    </row>
    <row r="109" spans="1:10" ht="15" hidden="1" x14ac:dyDescent="0.2">
      <c r="A109" s="17">
        <f t="shared" si="15"/>
        <v>2013</v>
      </c>
      <c r="B109" t="s">
        <v>16</v>
      </c>
      <c r="C109" s="98">
        <f>124.4*1.0101</f>
        <v>125.65644</v>
      </c>
      <c r="D109" s="98">
        <v>168.6</v>
      </c>
      <c r="E109" s="98">
        <v>129.69999999999999</v>
      </c>
      <c r="F109" s="98">
        <v>99.6</v>
      </c>
      <c r="G109" s="100">
        <v>1.7</v>
      </c>
      <c r="H109" s="53">
        <f t="shared" si="8"/>
        <v>109.84851052508078</v>
      </c>
    </row>
    <row r="110" spans="1:10" ht="15" hidden="1" x14ac:dyDescent="0.2">
      <c r="A110" s="10">
        <f t="shared" si="15"/>
        <v>2013</v>
      </c>
      <c r="B110" t="s">
        <v>17</v>
      </c>
      <c r="C110" s="98">
        <f>C109</f>
        <v>125.65644</v>
      </c>
      <c r="D110" s="98">
        <v>173.5</v>
      </c>
      <c r="E110" s="98">
        <v>130.1</v>
      </c>
      <c r="F110" s="98">
        <v>99.3</v>
      </c>
      <c r="G110" s="100">
        <v>1.63</v>
      </c>
      <c r="H110" s="53">
        <f t="shared" si="8"/>
        <v>110.34369278648441</v>
      </c>
    </row>
    <row r="111" spans="1:10" ht="15.75" hidden="1" thickBot="1" x14ac:dyDescent="0.25">
      <c r="A111" s="29">
        <f t="shared" si="15"/>
        <v>2013</v>
      </c>
      <c r="B111" s="30" t="s">
        <v>18</v>
      </c>
      <c r="C111" s="103">
        <f>C109</f>
        <v>125.65644</v>
      </c>
      <c r="D111" s="103">
        <v>169.1</v>
      </c>
      <c r="E111" s="103">
        <v>130.30000000000001</v>
      </c>
      <c r="F111" s="103">
        <v>99.3</v>
      </c>
      <c r="G111" s="104">
        <v>1.69</v>
      </c>
      <c r="H111" s="88">
        <f t="shared" si="8"/>
        <v>109.90920777464092</v>
      </c>
    </row>
    <row r="112" spans="1:10" ht="13.5" hidden="1" customHeight="1" x14ac:dyDescent="0.2">
      <c r="A112" s="2">
        <v>2014</v>
      </c>
      <c r="B112" s="47" t="s">
        <v>8</v>
      </c>
      <c r="C112" s="98">
        <f>124.6*1.0101</f>
        <v>125.85845999999999</v>
      </c>
      <c r="D112" s="98">
        <v>167</v>
      </c>
      <c r="E112" s="98">
        <v>130</v>
      </c>
      <c r="F112" s="98">
        <v>98.7</v>
      </c>
      <c r="G112" s="100">
        <v>1.49</v>
      </c>
      <c r="H112" s="53">
        <f t="shared" si="8"/>
        <v>109.44285671614632</v>
      </c>
    </row>
    <row r="113" spans="1:10" ht="15" hidden="1" x14ac:dyDescent="0.2">
      <c r="A113" s="10">
        <f>A112</f>
        <v>2014</v>
      </c>
      <c r="B113" t="s">
        <v>9</v>
      </c>
      <c r="C113" s="98">
        <f>C112</f>
        <v>125.85845999999999</v>
      </c>
      <c r="D113" s="98">
        <v>167.8</v>
      </c>
      <c r="E113" s="98">
        <v>129.9</v>
      </c>
      <c r="F113" s="98">
        <v>99.1</v>
      </c>
      <c r="G113" s="100">
        <v>1.58</v>
      </c>
      <c r="H113" s="53">
        <f t="shared" si="8"/>
        <v>109.6814511318544</v>
      </c>
    </row>
    <row r="114" spans="1:10" ht="15" hidden="1" x14ac:dyDescent="0.2">
      <c r="A114" s="12">
        <f t="shared" ref="A114:A123" si="16">A113</f>
        <v>2014</v>
      </c>
      <c r="B114" s="13" t="s">
        <v>10</v>
      </c>
      <c r="C114" s="101">
        <f>C112</f>
        <v>125.85845999999999</v>
      </c>
      <c r="D114" s="101">
        <v>166.5</v>
      </c>
      <c r="E114" s="101">
        <v>129.69999999999999</v>
      </c>
      <c r="F114" s="115">
        <v>98.9</v>
      </c>
      <c r="G114" s="102">
        <v>1.52</v>
      </c>
      <c r="H114" s="114">
        <f t="shared" si="8"/>
        <v>109.41882712501318</v>
      </c>
      <c r="J114" s="112" t="s">
        <v>44</v>
      </c>
    </row>
    <row r="115" spans="1:10" ht="15" hidden="1" x14ac:dyDescent="0.2">
      <c r="A115" s="17">
        <f t="shared" si="16"/>
        <v>2014</v>
      </c>
      <c r="B115" s="18" t="s">
        <v>11</v>
      </c>
      <c r="C115" s="98">
        <f>125.1*1.0101</f>
        <v>126.36350999999999</v>
      </c>
      <c r="D115" s="98">
        <v>167.3</v>
      </c>
      <c r="E115" s="98">
        <v>130.6</v>
      </c>
      <c r="F115" s="109">
        <v>99.1</v>
      </c>
      <c r="G115" s="100">
        <v>1.46</v>
      </c>
      <c r="H115" s="53">
        <f t="shared" si="8"/>
        <v>109.7985019237603</v>
      </c>
    </row>
    <row r="116" spans="1:10" ht="15" hidden="1" x14ac:dyDescent="0.2">
      <c r="A116" s="10">
        <f t="shared" si="16"/>
        <v>2014</v>
      </c>
      <c r="B116" t="s">
        <v>12</v>
      </c>
      <c r="C116" s="98">
        <f>C115</f>
        <v>126.36350999999999</v>
      </c>
      <c r="D116" s="98">
        <v>166.4</v>
      </c>
      <c r="E116" s="98">
        <v>130.69999999999999</v>
      </c>
      <c r="F116" s="109">
        <v>98.8</v>
      </c>
      <c r="G116" s="100">
        <v>1.43</v>
      </c>
      <c r="H116" s="53">
        <f t="shared" si="8"/>
        <v>109.63274323931731</v>
      </c>
    </row>
    <row r="117" spans="1:10" ht="15" hidden="1" x14ac:dyDescent="0.2">
      <c r="A117" s="12">
        <f t="shared" si="16"/>
        <v>2014</v>
      </c>
      <c r="B117" s="13" t="s">
        <v>13</v>
      </c>
      <c r="C117" s="101">
        <f>C115</f>
        <v>126.36350999999999</v>
      </c>
      <c r="D117" s="101">
        <v>165.5</v>
      </c>
      <c r="E117" s="101">
        <v>130.9</v>
      </c>
      <c r="F117" s="115">
        <v>98.7</v>
      </c>
      <c r="G117" s="102">
        <v>1.39</v>
      </c>
      <c r="H117" s="93">
        <f t="shared" si="8"/>
        <v>109.47986993556179</v>
      </c>
    </row>
    <row r="118" spans="1:10" ht="15" hidden="1" x14ac:dyDescent="0.2">
      <c r="A118" s="17">
        <f t="shared" si="16"/>
        <v>2014</v>
      </c>
      <c r="B118" s="212" t="s">
        <v>30</v>
      </c>
      <c r="C118" s="98">
        <f>125.4*1.0101</f>
        <v>126.66654000000001</v>
      </c>
      <c r="D118" s="98">
        <v>164.6</v>
      </c>
      <c r="E118" s="98">
        <v>130.80000000000001</v>
      </c>
      <c r="F118" s="109">
        <v>98.9</v>
      </c>
      <c r="G118" s="100">
        <v>1.3</v>
      </c>
      <c r="H118" s="94">
        <f t="shared" si="8"/>
        <v>109.43855060393879</v>
      </c>
    </row>
    <row r="119" spans="1:10" ht="15" hidden="1" x14ac:dyDescent="0.2">
      <c r="A119" s="10">
        <f t="shared" si="16"/>
        <v>2014</v>
      </c>
      <c r="B119" t="s">
        <v>14</v>
      </c>
      <c r="C119" s="98">
        <f>C118</f>
        <v>126.66654000000001</v>
      </c>
      <c r="D119" s="98">
        <v>166.5</v>
      </c>
      <c r="E119" s="98">
        <v>130.69999999999999</v>
      </c>
      <c r="F119" s="109">
        <v>99</v>
      </c>
      <c r="G119" s="100">
        <v>1.29</v>
      </c>
      <c r="H119" s="53">
        <f t="shared" si="8"/>
        <v>109.6545048519073</v>
      </c>
    </row>
    <row r="120" spans="1:10" ht="15" hidden="1" x14ac:dyDescent="0.2">
      <c r="A120" s="12">
        <f t="shared" si="16"/>
        <v>2014</v>
      </c>
      <c r="B120" s="13" t="s">
        <v>15</v>
      </c>
      <c r="C120" s="101">
        <f>C118</f>
        <v>126.66654000000001</v>
      </c>
      <c r="D120" s="101">
        <v>164.9</v>
      </c>
      <c r="E120" s="101">
        <v>130.6</v>
      </c>
      <c r="F120" s="115">
        <v>98.9</v>
      </c>
      <c r="G120" s="102">
        <v>1.3</v>
      </c>
      <c r="H120" s="114">
        <f t="shared" si="8"/>
        <v>109.46041207580026</v>
      </c>
    </row>
    <row r="121" spans="1:10" ht="15" hidden="1" x14ac:dyDescent="0.2">
      <c r="A121" s="17">
        <f t="shared" si="16"/>
        <v>2014</v>
      </c>
      <c r="B121" t="s">
        <v>16</v>
      </c>
      <c r="C121" s="98">
        <f>125.9*1.0101</f>
        <v>127.17159000000001</v>
      </c>
      <c r="D121" s="98">
        <v>165.3</v>
      </c>
      <c r="E121" s="98">
        <v>130.4</v>
      </c>
      <c r="F121" s="109">
        <v>98.9</v>
      </c>
      <c r="G121" s="100">
        <v>1.22</v>
      </c>
      <c r="H121" s="94">
        <f t="shared" si="8"/>
        <v>109.67258252792017</v>
      </c>
    </row>
    <row r="122" spans="1:10" ht="15" hidden="1" x14ac:dyDescent="0.2">
      <c r="A122" s="10">
        <f t="shared" si="16"/>
        <v>2014</v>
      </c>
      <c r="B122" t="s">
        <v>17</v>
      </c>
      <c r="C122" s="98">
        <f>C121</f>
        <v>127.17159000000001</v>
      </c>
      <c r="D122" s="98">
        <v>163.6</v>
      </c>
      <c r="E122" s="98">
        <v>130.80000000000001</v>
      </c>
      <c r="F122" s="130">
        <f>+F$121*(103.5/103.3)</f>
        <v>99.091481122942895</v>
      </c>
      <c r="G122" s="100">
        <v>1.18</v>
      </c>
      <c r="H122" s="53">
        <f t="shared" si="8"/>
        <v>109.46534073069375</v>
      </c>
      <c r="J122" s="129" t="s">
        <v>66</v>
      </c>
    </row>
    <row r="123" spans="1:10" ht="15.75" hidden="1" thickBot="1" x14ac:dyDescent="0.25">
      <c r="A123" s="29">
        <f t="shared" si="16"/>
        <v>2014</v>
      </c>
      <c r="B123" s="30" t="s">
        <v>18</v>
      </c>
      <c r="C123" s="103">
        <f>C121</f>
        <v>127.17159000000001</v>
      </c>
      <c r="D123" s="103">
        <v>158.9</v>
      </c>
      <c r="E123" s="103">
        <v>130.9</v>
      </c>
      <c r="F123" s="131">
        <f>+F$121*(103.5/103.3)</f>
        <v>99.091481122942895</v>
      </c>
      <c r="G123" s="104">
        <v>1.23</v>
      </c>
      <c r="H123" s="88">
        <f t="shared" si="8"/>
        <v>108.97563640985736</v>
      </c>
    </row>
    <row r="124" spans="1:10" ht="15" hidden="1" x14ac:dyDescent="0.2">
      <c r="A124" s="2">
        <v>2015</v>
      </c>
      <c r="B124" s="120" t="s">
        <v>8</v>
      </c>
      <c r="C124" s="98">
        <v>127.7</v>
      </c>
      <c r="D124" s="98">
        <v>158.30000000000001</v>
      </c>
      <c r="E124" s="98">
        <v>130.6</v>
      </c>
      <c r="F124" s="130">
        <f>+F$121*(103.4/103.3)</f>
        <v>98.995740561471465</v>
      </c>
      <c r="G124" s="100">
        <v>1.17</v>
      </c>
      <c r="H124" s="53">
        <f t="shared" si="8"/>
        <v>109.09102214962684</v>
      </c>
    </row>
    <row r="125" spans="1:10" ht="15" hidden="1" x14ac:dyDescent="0.2">
      <c r="A125" s="10">
        <f>A124</f>
        <v>2015</v>
      </c>
      <c r="B125" t="s">
        <v>9</v>
      </c>
      <c r="C125" s="98">
        <f>C124</f>
        <v>127.7</v>
      </c>
      <c r="D125" s="98">
        <v>146.4</v>
      </c>
      <c r="E125" s="98">
        <v>130.30000000000001</v>
      </c>
      <c r="F125" s="130">
        <f>+F$121*(103.8/103.3)</f>
        <v>99.378702807357229</v>
      </c>
      <c r="G125" s="100">
        <v>1.1000000000000001</v>
      </c>
      <c r="H125" s="53">
        <f t="shared" si="8"/>
        <v>107.60102193343101</v>
      </c>
    </row>
    <row r="126" spans="1:10" ht="15" hidden="1" x14ac:dyDescent="0.2">
      <c r="A126" s="12">
        <f t="shared" ref="A126:A135" si="17">A125</f>
        <v>2015</v>
      </c>
      <c r="B126" s="13" t="s">
        <v>10</v>
      </c>
      <c r="C126" s="101">
        <f>C124</f>
        <v>127.7</v>
      </c>
      <c r="D126" s="101">
        <v>139.80000000000001</v>
      </c>
      <c r="E126" s="101">
        <v>129.6</v>
      </c>
      <c r="F126" s="132">
        <v>99.8</v>
      </c>
      <c r="G126" s="102">
        <v>0.87</v>
      </c>
      <c r="H126" s="114">
        <f t="shared" si="8"/>
        <v>106.51656379649668</v>
      </c>
    </row>
    <row r="127" spans="1:10" ht="15" hidden="1" x14ac:dyDescent="0.2">
      <c r="A127" s="17">
        <f t="shared" si="17"/>
        <v>2015</v>
      </c>
      <c r="B127" s="120" t="s">
        <v>11</v>
      </c>
      <c r="C127" s="98">
        <f>126.9*1.0101</f>
        <v>128.18169</v>
      </c>
      <c r="D127" s="98">
        <v>148.1</v>
      </c>
      <c r="E127" s="98">
        <v>130.9</v>
      </c>
      <c r="F127" s="130">
        <v>100</v>
      </c>
      <c r="G127" s="100">
        <v>0.82</v>
      </c>
      <c r="H127" s="53">
        <f t="shared" si="8"/>
        <v>107.81647390481069</v>
      </c>
    </row>
    <row r="128" spans="1:10" ht="15" hidden="1" x14ac:dyDescent="0.2">
      <c r="A128" s="10">
        <f t="shared" si="17"/>
        <v>2015</v>
      </c>
      <c r="B128" t="s">
        <v>12</v>
      </c>
      <c r="C128" s="98">
        <f>126.9*1.0101</f>
        <v>128.18169</v>
      </c>
      <c r="D128" s="98">
        <v>149.1</v>
      </c>
      <c r="E128" s="98">
        <v>131.5</v>
      </c>
      <c r="F128" s="130">
        <v>100.3</v>
      </c>
      <c r="G128" s="100">
        <v>0.84</v>
      </c>
      <c r="H128" s="53">
        <f t="shared" si="8"/>
        <v>108.0300435832911</v>
      </c>
    </row>
    <row r="129" spans="1:10" ht="15.75" hidden="1" thickBot="1" x14ac:dyDescent="0.25">
      <c r="A129" s="29">
        <f t="shared" si="17"/>
        <v>2015</v>
      </c>
      <c r="B129" s="30" t="s">
        <v>13</v>
      </c>
      <c r="C129" s="103">
        <f>126.9*1.0101</f>
        <v>128.18169</v>
      </c>
      <c r="D129" s="103">
        <v>150.1</v>
      </c>
      <c r="E129" s="103">
        <f>E128*(1+(((SUM(E$112:E$123)-SUM(E$100:E$111))/SUM(E$100:E$111))/12))</f>
        <v>131.56710611258526</v>
      </c>
      <c r="F129" s="131">
        <f>+F$121*(106/103.3)</f>
        <v>101.48499515972897</v>
      </c>
      <c r="G129" s="104">
        <v>0.76</v>
      </c>
      <c r="H129" s="88">
        <f t="shared" si="8"/>
        <v>108.16294508673766</v>
      </c>
    </row>
    <row r="130" spans="1:10" ht="15" hidden="1" x14ac:dyDescent="0.2">
      <c r="A130" s="10">
        <f t="shared" si="17"/>
        <v>2015</v>
      </c>
      <c r="B130" t="s">
        <v>30</v>
      </c>
      <c r="C130" s="98">
        <f>127.2*1.0101</f>
        <v>128.48472000000001</v>
      </c>
      <c r="D130" s="98">
        <v>151.5</v>
      </c>
      <c r="E130" s="98">
        <f>E129*(1+(((SUM(E$112:E$123)-SUM(E$100:E$111))/SUM(E$100:E$111))/12))</f>
        <v>131.63424647026821</v>
      </c>
      <c r="F130" s="130">
        <f>+F$121*(106/103.3)</f>
        <v>101.48499515972897</v>
      </c>
      <c r="G130" s="100">
        <v>0.99</v>
      </c>
      <c r="H130" s="53">
        <f t="shared" si="8"/>
        <v>108.79099023339268</v>
      </c>
    </row>
    <row r="131" spans="1:10" ht="15" hidden="1" x14ac:dyDescent="0.2">
      <c r="A131" s="10">
        <f t="shared" si="17"/>
        <v>2015</v>
      </c>
      <c r="B131" t="s">
        <v>14</v>
      </c>
      <c r="C131" s="98">
        <f>127.2*1.0101</f>
        <v>128.48472000000001</v>
      </c>
      <c r="D131" s="98">
        <v>150.30000000000001</v>
      </c>
      <c r="E131" s="98">
        <v>131.6</v>
      </c>
      <c r="F131" s="130">
        <f>+F$121*(106.2/103.3)</f>
        <v>101.67647628267183</v>
      </c>
      <c r="G131" s="100">
        <v>1.1100000000000001</v>
      </c>
      <c r="H131" s="53">
        <f t="shared" si="8"/>
        <v>108.81445242973098</v>
      </c>
    </row>
    <row r="132" spans="1:10" ht="15" hidden="1" x14ac:dyDescent="0.2">
      <c r="A132" s="12">
        <f t="shared" si="17"/>
        <v>2015</v>
      </c>
      <c r="B132" s="13" t="s">
        <v>15</v>
      </c>
      <c r="C132" s="101">
        <f>127.2*1.0101</f>
        <v>128.48472000000001</v>
      </c>
      <c r="D132" s="101">
        <v>147.19999999999999</v>
      </c>
      <c r="E132" s="101">
        <v>131.5</v>
      </c>
      <c r="F132" s="132">
        <f>+F$121*(106.3/103.3)</f>
        <v>101.77221684414327</v>
      </c>
      <c r="G132" s="102">
        <v>1</v>
      </c>
      <c r="H132" s="114">
        <f t="shared" si="8"/>
        <v>108.30898762031161</v>
      </c>
    </row>
    <row r="133" spans="1:10" ht="15" hidden="1" x14ac:dyDescent="0.2">
      <c r="A133" s="17">
        <f t="shared" si="17"/>
        <v>2015</v>
      </c>
      <c r="B133" s="120" t="s">
        <v>16</v>
      </c>
      <c r="C133" s="98">
        <f>127.8*1.0101</f>
        <v>129.09078</v>
      </c>
      <c r="D133" s="98">
        <v>141.69999999999999</v>
      </c>
      <c r="E133" s="98">
        <v>131.1</v>
      </c>
      <c r="F133" s="130">
        <f>+F$121*(106.5/103.3)</f>
        <v>101.96369796708616</v>
      </c>
      <c r="G133" s="100">
        <v>1.07</v>
      </c>
      <c r="H133" s="53">
        <f t="shared" si="8"/>
        <v>108.06715817417275</v>
      </c>
    </row>
    <row r="134" spans="1:10" ht="15" hidden="1" x14ac:dyDescent="0.2">
      <c r="A134" s="10">
        <f t="shared" si="17"/>
        <v>2015</v>
      </c>
      <c r="B134" t="s">
        <v>17</v>
      </c>
      <c r="C134" s="98">
        <f>127.8*1.0101</f>
        <v>129.09078</v>
      </c>
      <c r="D134" s="98">
        <v>139.30000000000001</v>
      </c>
      <c r="E134" s="98">
        <v>131.4</v>
      </c>
      <c r="F134" s="130">
        <f>+F$121*(106.5/103.3)</f>
        <v>101.96369796708616</v>
      </c>
      <c r="G134" s="100">
        <v>1.1200000000000001</v>
      </c>
      <c r="H134" s="53">
        <f t="shared" si="8"/>
        <v>107.86511619099869</v>
      </c>
    </row>
    <row r="135" spans="1:10" ht="15.75" hidden="1" thickBot="1" x14ac:dyDescent="0.25">
      <c r="A135" s="29">
        <f t="shared" si="17"/>
        <v>2015</v>
      </c>
      <c r="B135" s="30" t="s">
        <v>18</v>
      </c>
      <c r="C135" s="103">
        <f>127.8*1.0101</f>
        <v>129.09078</v>
      </c>
      <c r="D135" s="103">
        <v>139.80000000000001</v>
      </c>
      <c r="E135" s="103">
        <v>131.4</v>
      </c>
      <c r="F135" s="131">
        <f>+F$121*(106.7/103.3)</f>
        <v>102.15517909002905</v>
      </c>
      <c r="G135" s="104">
        <v>1.08</v>
      </c>
      <c r="H135" s="88">
        <f>100+((C135-$C$40)/$C$40*100*$C$2)+((D135-$D$40)/$D$40*100*$D$2)+((E135-$E$40)/$E$40*100*$E$2)+((F135-$F$40)/$F$40*100*$F$2)+((G135-$G$40)/$G$40*100*$G$2)</f>
        <v>107.89207352797142</v>
      </c>
    </row>
    <row r="136" spans="1:10" ht="15" hidden="1" x14ac:dyDescent="0.2">
      <c r="A136" s="2">
        <v>2016</v>
      </c>
      <c r="B136" s="120" t="s">
        <v>8</v>
      </c>
      <c r="C136" s="98">
        <f>128.2*1.0101</f>
        <v>129.49481999999998</v>
      </c>
      <c r="D136" s="98">
        <v>138.5</v>
      </c>
      <c r="E136" s="98">
        <v>131</v>
      </c>
      <c r="F136" s="130">
        <f>+F$121*(106.8/103.3)</f>
        <v>102.25091965150048</v>
      </c>
      <c r="G136" s="100">
        <v>1.03</v>
      </c>
      <c r="H136" s="53">
        <f t="shared" si="8"/>
        <v>107.87881342950875</v>
      </c>
    </row>
    <row r="137" spans="1:10" ht="15" hidden="1" x14ac:dyDescent="0.2">
      <c r="A137" s="10">
        <f>A136</f>
        <v>2016</v>
      </c>
      <c r="B137" t="s">
        <v>9</v>
      </c>
      <c r="C137" s="98">
        <f>128.2*1.0101</f>
        <v>129.49481999999998</v>
      </c>
      <c r="D137" s="98">
        <v>130.4</v>
      </c>
      <c r="E137" s="98">
        <f>E136*(1+(((SUM(E$124:E$135)-SUM(E$112:E$123))/SUM(E$112:E$123))/12))</f>
        <v>131.04950389465483</v>
      </c>
      <c r="F137" s="130">
        <f>+F$121*(106.8/103.3)</f>
        <v>102.25091965150048</v>
      </c>
      <c r="G137" s="100">
        <v>1.0900000000000001</v>
      </c>
      <c r="H137" s="53">
        <f t="shared" si="8"/>
        <v>106.99342825452445</v>
      </c>
    </row>
    <row r="138" spans="1:10" ht="15" hidden="1" x14ac:dyDescent="0.2">
      <c r="A138" s="12">
        <f t="shared" ref="A138:A147" si="18">A137</f>
        <v>2016</v>
      </c>
      <c r="B138" s="13" t="s">
        <v>10</v>
      </c>
      <c r="C138" s="101">
        <f>128.2*1.0101</f>
        <v>129.49481999999998</v>
      </c>
      <c r="D138" s="135">
        <f>130.4/90.3*87</f>
        <v>125.63455149501662</v>
      </c>
      <c r="E138" s="135">
        <f>131/99.8*99.4</f>
        <v>130.47494989979961</v>
      </c>
      <c r="F138" s="132">
        <f>+F$121*(106.9/103.3)</f>
        <v>102.34666021297194</v>
      </c>
      <c r="G138" s="102">
        <f>+G137</f>
        <v>1.0900000000000001</v>
      </c>
      <c r="H138" s="114">
        <f t="shared" ref="H138:H147" si="19">100+((C138-$C$40)/$C$40*100*$C$2)+((D138-$D$40)/$D$40*100*$D$2)+((E138-$E$40)/$E$40*100*$E$2)+((F138-$F$40)/$F$40*100*$F$2)+((G138-$G$40)/$G$40*100*$G$2)</f>
        <v>106.39519100504542</v>
      </c>
      <c r="J138" s="136" t="s">
        <v>69</v>
      </c>
    </row>
    <row r="139" spans="1:10" ht="15" hidden="1" x14ac:dyDescent="0.2">
      <c r="A139" s="17">
        <f t="shared" si="18"/>
        <v>2016</v>
      </c>
      <c r="B139" s="120" t="s">
        <v>11</v>
      </c>
      <c r="C139" s="98">
        <f>128.7*1.0101</f>
        <v>129.99986999999999</v>
      </c>
      <c r="D139" s="145">
        <f>130.4/90.3*85.6</f>
        <v>123.61284606866002</v>
      </c>
      <c r="E139" s="145">
        <f>131/99.8*100.1</f>
        <v>131.3937875751503</v>
      </c>
      <c r="F139" s="130">
        <f>+F$121*(106.9/103.3)</f>
        <v>102.34666021297194</v>
      </c>
      <c r="G139" s="100">
        <v>0.96</v>
      </c>
      <c r="H139" s="53">
        <f t="shared" si="19"/>
        <v>106.33366536060261</v>
      </c>
    </row>
    <row r="140" spans="1:10" ht="15" hidden="1" x14ac:dyDescent="0.2">
      <c r="A140" s="10">
        <f t="shared" si="18"/>
        <v>2016</v>
      </c>
      <c r="B140" t="s">
        <v>12</v>
      </c>
      <c r="C140" s="98">
        <f>128.7*1.0101</f>
        <v>129.99986999999999</v>
      </c>
      <c r="D140" s="145">
        <f>130.4/90.3*90.2</f>
        <v>130.25559246954597</v>
      </c>
      <c r="E140" s="145">
        <f>131/99.8*100.2</f>
        <v>131.52505010020042</v>
      </c>
      <c r="F140" s="130">
        <f>+F$121*(107/103.3)</f>
        <v>102.44240077444337</v>
      </c>
      <c r="G140" s="100">
        <v>0.85</v>
      </c>
      <c r="H140" s="53">
        <f t="shared" si="19"/>
        <v>107.00406949674672</v>
      </c>
    </row>
    <row r="141" spans="1:10" ht="15.75" hidden="1" thickBot="1" x14ac:dyDescent="0.25">
      <c r="A141" s="29">
        <f t="shared" si="18"/>
        <v>2016</v>
      </c>
      <c r="B141" s="30" t="s">
        <v>13</v>
      </c>
      <c r="C141" s="103">
        <f>128.7*1.0101</f>
        <v>129.99986999999999</v>
      </c>
      <c r="D141" s="146">
        <f>130.4/90.3*89.7</f>
        <v>129.53355481727576</v>
      </c>
      <c r="E141" s="146">
        <f>131/99.8*100.3</f>
        <v>131.65631262525051</v>
      </c>
      <c r="F141" s="131">
        <f>+F$121*(106.8/103.3)</f>
        <v>102.25091965150048</v>
      </c>
      <c r="G141" s="104">
        <v>0.87</v>
      </c>
      <c r="H141" s="88">
        <f t="shared" si="19"/>
        <v>106.93461364985474</v>
      </c>
    </row>
    <row r="142" spans="1:10" ht="15" hidden="1" x14ac:dyDescent="0.2">
      <c r="A142" s="10">
        <f t="shared" si="18"/>
        <v>2016</v>
      </c>
      <c r="B142" t="s">
        <v>30</v>
      </c>
      <c r="C142" s="98">
        <f>129.4*1.0101</f>
        <v>130.70694</v>
      </c>
      <c r="D142" s="145">
        <f>130.4/90.3*92.2</f>
        <v>133.14374307862681</v>
      </c>
      <c r="E142" s="145">
        <f>131/99.8*100.5</f>
        <v>131.91883767535072</v>
      </c>
      <c r="F142" s="130">
        <f>+F$121*(106.7/103.3)</f>
        <v>102.15517909002905</v>
      </c>
      <c r="G142" s="100">
        <v>0.83</v>
      </c>
      <c r="H142" s="53">
        <f t="shared" si="19"/>
        <v>107.71403946693806</v>
      </c>
    </row>
    <row r="143" spans="1:10" ht="15" hidden="1" x14ac:dyDescent="0.2">
      <c r="A143" s="10">
        <f t="shared" si="18"/>
        <v>2016</v>
      </c>
      <c r="B143" t="s">
        <v>14</v>
      </c>
      <c r="C143" s="98">
        <f>129.4*1.0101</f>
        <v>130.70694</v>
      </c>
      <c r="D143" s="145">
        <f>130.4/90.3*95.9</f>
        <v>138.48682170542637</v>
      </c>
      <c r="E143" s="145">
        <f>131/99.8*100.6</f>
        <v>132.05010020040081</v>
      </c>
      <c r="F143" s="130">
        <f>+F$121*(107/103.3)</f>
        <v>102.44240077444337</v>
      </c>
      <c r="G143" s="100">
        <v>0.6</v>
      </c>
      <c r="H143" s="53">
        <f t="shared" si="19"/>
        <v>108.09652584565558</v>
      </c>
    </row>
    <row r="144" spans="1:10" ht="15" hidden="1" x14ac:dyDescent="0.2">
      <c r="A144" s="12">
        <f t="shared" si="18"/>
        <v>2016</v>
      </c>
      <c r="B144" s="13" t="s">
        <v>15</v>
      </c>
      <c r="C144" s="101">
        <f>129.4*1.0101</f>
        <v>130.70694</v>
      </c>
      <c r="D144" s="135">
        <f>130.4/90.3*93.1</f>
        <v>134.44341085271319</v>
      </c>
      <c r="E144" s="135">
        <f>131/99.8*100.5</f>
        <v>131.91883767535072</v>
      </c>
      <c r="F144" s="132">
        <f>+F$121*(107.2/103.3)</f>
        <v>102.63388189738627</v>
      </c>
      <c r="G144" s="102">
        <v>0.63</v>
      </c>
      <c r="H144" s="114">
        <f t="shared" si="19"/>
        <v>107.66155947609626</v>
      </c>
    </row>
    <row r="145" spans="1:17" ht="15" hidden="1" x14ac:dyDescent="0.2">
      <c r="A145" s="17">
        <f t="shared" si="18"/>
        <v>2016</v>
      </c>
      <c r="B145" s="120" t="s">
        <v>16</v>
      </c>
      <c r="C145" s="98">
        <f>130*1.0101</f>
        <v>131.31299999999999</v>
      </c>
      <c r="D145" s="145">
        <f>130.4/90.3*91.1</f>
        <v>131.55526024363235</v>
      </c>
      <c r="E145" s="145">
        <f>131/99.8*100.2</f>
        <v>131.52505010020042</v>
      </c>
      <c r="F145" s="130">
        <f>+F$121*(107.1/103.3)</f>
        <v>102.53814133591482</v>
      </c>
      <c r="G145" s="100">
        <v>0.64</v>
      </c>
      <c r="H145" s="53">
        <f t="shared" si="19"/>
        <v>107.62900109168257</v>
      </c>
    </row>
    <row r="146" spans="1:17" ht="15" hidden="1" x14ac:dyDescent="0.2">
      <c r="A146" s="10">
        <f>+A145</f>
        <v>2016</v>
      </c>
      <c r="B146" t="s">
        <v>17</v>
      </c>
      <c r="C146" s="98">
        <f>130*1.0101</f>
        <v>131.31299999999999</v>
      </c>
      <c r="D146" s="145">
        <f>130.4/90.3*93.8</f>
        <v>135.45426356589147</v>
      </c>
      <c r="E146" s="145">
        <f>131/99.8*100.2</f>
        <v>131.52505010020042</v>
      </c>
      <c r="F146" s="130">
        <f>+F$121*(107.2/103.3)</f>
        <v>102.63388189738627</v>
      </c>
      <c r="G146" s="100">
        <v>0.56000000000000005</v>
      </c>
      <c r="H146" s="53">
        <f t="shared" si="19"/>
        <v>108.00141321946754</v>
      </c>
    </row>
    <row r="147" spans="1:17" ht="15.75" hidden="1" thickBot="1" x14ac:dyDescent="0.25">
      <c r="A147" s="29">
        <f t="shared" si="18"/>
        <v>2016</v>
      </c>
      <c r="B147" s="30" t="s">
        <v>18</v>
      </c>
      <c r="C147" s="103">
        <f>130*1.0101</f>
        <v>131.31299999999999</v>
      </c>
      <c r="D147" s="146">
        <f>130.4/90.3*97.5</f>
        <v>140.79734219269105</v>
      </c>
      <c r="E147" s="146">
        <f>131/99.8*100.4</f>
        <v>131.78757515030063</v>
      </c>
      <c r="F147" s="131">
        <f>+F$121*(107.2/103.3)</f>
        <v>102.63388189738627</v>
      </c>
      <c r="G147" s="104">
        <v>0.77</v>
      </c>
      <c r="H147" s="88">
        <f t="shared" si="19"/>
        <v>108.91982850502217</v>
      </c>
      <c r="L147" s="98"/>
      <c r="M147" s="98"/>
      <c r="N147" s="98"/>
      <c r="O147" s="147"/>
      <c r="P147" s="100"/>
      <c r="Q147" s="53"/>
    </row>
    <row r="148" spans="1:17" ht="15" hidden="1" x14ac:dyDescent="0.2">
      <c r="A148" s="2">
        <v>2017</v>
      </c>
      <c r="B148" s="120" t="s">
        <v>8</v>
      </c>
      <c r="C148" s="98">
        <f>130.5*1.0101</f>
        <v>131.81805</v>
      </c>
      <c r="D148" s="145">
        <f>130.4/90.3*95.3</f>
        <v>137.62037652270212</v>
      </c>
      <c r="E148" s="145">
        <f>131/99.8*100.3</f>
        <v>131.65631262525051</v>
      </c>
      <c r="F148" s="130">
        <f>+F$121*(107.2/103.3)</f>
        <v>102.63388189738627</v>
      </c>
      <c r="G148" s="100">
        <v>0.78</v>
      </c>
      <c r="H148" s="53">
        <f>100+((C148-$C$40)/$C$40*100*$C$2)+((D148-$D$40)/$D$40*100*$D$2)+((E148-$E$40)/$E$40*100*$E$2)+((F148-$F$40)/$F$40*100*$F$2)+((G148-$G$40)/$G$40*100*$G$2)</f>
        <v>108.82413829511057</v>
      </c>
    </row>
    <row r="149" spans="1:17" ht="15" hidden="1" customHeight="1" x14ac:dyDescent="0.2">
      <c r="A149" s="10">
        <f>A148</f>
        <v>2017</v>
      </c>
      <c r="B149" t="s">
        <v>9</v>
      </c>
      <c r="C149" s="98">
        <f>C146*(1+(((SUM(C$136:C$147)-SUM(C$124:C$135))/SUM(C$124:C$135))/4))</f>
        <v>131.82815814722545</v>
      </c>
      <c r="D149" s="145">
        <f>130.4/90.3*100.4</f>
        <v>144.98516057585826</v>
      </c>
      <c r="E149" s="145">
        <f>131/99.8*100.3</f>
        <v>131.65631262525051</v>
      </c>
      <c r="F149" s="130">
        <f>+F$121*(107.1/103.3)</f>
        <v>102.53814133591482</v>
      </c>
      <c r="G149" s="100">
        <v>0.73</v>
      </c>
      <c r="H149" s="53">
        <f t="shared" ref="H149:H171" si="20">100+((C149-$C$40)/$C$40*100*$C$2)+((D149-$D$40)/$D$40*100*$D$2)+((E149-$E$40)/$E$40*100*$E$2)+((F149-$F$40)/$F$40*100*$F$2)+((G149-$G$40)/$G$40*100*$G$2)</f>
        <v>109.63471583497558</v>
      </c>
    </row>
    <row r="150" spans="1:17" ht="15" hidden="1" customHeight="1" x14ac:dyDescent="0.2">
      <c r="A150" s="12">
        <f t="shared" ref="A150:A159" si="21">A149</f>
        <v>2017</v>
      </c>
      <c r="B150" s="13" t="s">
        <v>10</v>
      </c>
      <c r="C150" s="101">
        <f>C147*(1+(((SUM(C$136:C$147)-SUM(C$124:C$135))/SUM(C$124:C$135))/4))</f>
        <v>131.82815814722545</v>
      </c>
      <c r="D150" s="135">
        <f>130.4/90.3*102.6</f>
        <v>148.16212624584716</v>
      </c>
      <c r="E150" s="135">
        <f>131/99.8*100.3</f>
        <v>131.65631262525051</v>
      </c>
      <c r="F150" s="132">
        <f>+F$121*(107.4/103.3)</f>
        <v>102.82536302032916</v>
      </c>
      <c r="G150" s="102">
        <v>0.84</v>
      </c>
      <c r="H150" s="114">
        <f t="shared" si="20"/>
        <v>110.17791280294462</v>
      </c>
    </row>
    <row r="151" spans="1:17" ht="15" hidden="1" customHeight="1" x14ac:dyDescent="0.2">
      <c r="A151" s="17">
        <f t="shared" si="21"/>
        <v>2017</v>
      </c>
      <c r="B151" s="120" t="s">
        <v>11</v>
      </c>
      <c r="C151" s="98">
        <f>131.1*1.0101</f>
        <v>132.42410999999998</v>
      </c>
      <c r="D151" s="145">
        <f>130.4/90.3*100.7</f>
        <v>145.41838316722038</v>
      </c>
      <c r="E151" s="145">
        <f>131/99.8*101.1</f>
        <v>132.70641282565131</v>
      </c>
      <c r="F151" s="130">
        <f>+F$121*(107.5/103.3)</f>
        <v>102.92110358180059</v>
      </c>
      <c r="G151" s="100">
        <v>0.78</v>
      </c>
      <c r="H151" s="53">
        <f t="shared" si="20"/>
        <v>110.18666840076489</v>
      </c>
      <c r="L151" s="53"/>
      <c r="M151" s="53"/>
      <c r="N151" s="53"/>
      <c r="O151" s="53"/>
      <c r="P151" s="53"/>
      <c r="Q151" s="53"/>
    </row>
    <row r="152" spans="1:17" ht="15" hidden="1" customHeight="1" x14ac:dyDescent="0.2">
      <c r="A152" s="10">
        <f t="shared" si="21"/>
        <v>2017</v>
      </c>
      <c r="B152" t="s">
        <v>12</v>
      </c>
      <c r="C152" s="98">
        <f>131.1*1.0101</f>
        <v>132.42410999999998</v>
      </c>
      <c r="D152" s="145">
        <f>130.4/90.3*99.1</f>
        <v>143.1078626799557</v>
      </c>
      <c r="E152" s="145">
        <f>131/99.8*101.2</f>
        <v>132.8376753507014</v>
      </c>
      <c r="F152" s="130">
        <f>+F$121*(107.9/103.3)</f>
        <v>103.30406582768636</v>
      </c>
      <c r="G152" s="100">
        <v>0.67</v>
      </c>
      <c r="H152" s="53">
        <f t="shared" si="20"/>
        <v>109.81782942046338</v>
      </c>
    </row>
    <row r="153" spans="1:17" ht="15" hidden="1" customHeight="1" thickBot="1" x14ac:dyDescent="0.25">
      <c r="A153" s="29">
        <f t="shared" si="21"/>
        <v>2017</v>
      </c>
      <c r="B153" s="30" t="s">
        <v>13</v>
      </c>
      <c r="C153" s="103">
        <f>131.1*1.0101</f>
        <v>132.42410999999998</v>
      </c>
      <c r="D153" s="146">
        <f>130.4/90.3*100.9</f>
        <v>145.70719822812848</v>
      </c>
      <c r="E153" s="146">
        <f>131/99.8*101.4</f>
        <v>133.10020040080161</v>
      </c>
      <c r="F153" s="131">
        <f>+F$121*(107.7/103.3)</f>
        <v>103.11258470474348</v>
      </c>
      <c r="G153" s="104">
        <v>0.75</v>
      </c>
      <c r="H153" s="88">
        <f t="shared" si="20"/>
        <v>110.22833861979277</v>
      </c>
      <c r="J153" s="5"/>
    </row>
    <row r="154" spans="1:17" ht="15" hidden="1" customHeight="1" x14ac:dyDescent="0.2">
      <c r="A154" s="10">
        <f t="shared" si="21"/>
        <v>2017</v>
      </c>
      <c r="B154" t="s">
        <v>30</v>
      </c>
      <c r="C154" s="98">
        <f>131.4*1.0101</f>
        <v>132.72713999999999</v>
      </c>
      <c r="D154" s="145">
        <f>130.4/90.3*97.2</f>
        <v>140.36411960132892</v>
      </c>
      <c r="E154" s="145">
        <f>131/99.8*101.3</f>
        <v>132.96893787575152</v>
      </c>
      <c r="F154" s="130">
        <f>+F$121*(107.7/103.3)</f>
        <v>103.11258470474348</v>
      </c>
      <c r="G154" s="100">
        <f>+G153</f>
        <v>0.75</v>
      </c>
      <c r="H154" s="53">
        <f t="shared" si="20"/>
        <v>109.75058594376397</v>
      </c>
      <c r="L154" s="53"/>
      <c r="M154" s="53"/>
      <c r="N154" s="53"/>
      <c r="O154" s="53"/>
      <c r="P154" s="53"/>
      <c r="Q154" s="53"/>
    </row>
    <row r="155" spans="1:17" ht="15" hidden="1" customHeight="1" x14ac:dyDescent="0.2">
      <c r="A155" s="10">
        <f t="shared" si="21"/>
        <v>2017</v>
      </c>
      <c r="B155" t="s">
        <v>14</v>
      </c>
      <c r="C155" s="98">
        <f>131.4*1.0101</f>
        <v>132.72713999999999</v>
      </c>
      <c r="D155" s="145">
        <f>130.4/90.3*94.3</f>
        <v>136.17630121816168</v>
      </c>
      <c r="E155" s="145">
        <f>131/99.8*101.2</f>
        <v>132.8376753507014</v>
      </c>
      <c r="F155" s="130">
        <f>+F$121*(107.9/103.3)</f>
        <v>103.30406582768636</v>
      </c>
      <c r="G155" s="100">
        <v>0.66</v>
      </c>
      <c r="H155" s="53">
        <f t="shared" si="20"/>
        <v>109.14748480530514</v>
      </c>
    </row>
    <row r="156" spans="1:17" ht="15" hidden="1" customHeight="1" x14ac:dyDescent="0.2">
      <c r="A156" s="12">
        <f t="shared" si="21"/>
        <v>2017</v>
      </c>
      <c r="B156" s="13" t="s">
        <v>15</v>
      </c>
      <c r="C156" s="101">
        <f>131.4*1.0101</f>
        <v>132.72713999999999</v>
      </c>
      <c r="D156" s="135">
        <f>130.4/90.3*94.3</f>
        <v>136.17630121816168</v>
      </c>
      <c r="E156" s="135">
        <f>131/99.8*102</f>
        <v>133.88777555110221</v>
      </c>
      <c r="F156" s="132">
        <f>+F$121*(108.4/103.3)</f>
        <v>103.78276863504357</v>
      </c>
      <c r="G156" s="102">
        <v>0.63</v>
      </c>
      <c r="H156" s="114">
        <f t="shared" si="20"/>
        <v>109.22685315140764</v>
      </c>
    </row>
    <row r="157" spans="1:17" ht="15.75" hidden="1" customHeight="1" x14ac:dyDescent="0.2">
      <c r="A157" s="17">
        <f t="shared" si="21"/>
        <v>2017</v>
      </c>
      <c r="B157" s="120" t="s">
        <v>16</v>
      </c>
      <c r="C157" s="98">
        <f>132.2*1.0101</f>
        <v>133.53521999999998</v>
      </c>
      <c r="D157" s="145">
        <f>130.4/90.3*94.4</f>
        <v>136.32070874861574</v>
      </c>
      <c r="E157" s="145">
        <f>131/99.8*101.7</f>
        <v>133.49398797595191</v>
      </c>
      <c r="F157" s="130">
        <f>+F$121*(108.3/103.3)</f>
        <v>103.68702807357212</v>
      </c>
      <c r="G157" s="100">
        <v>0.56999999999999995</v>
      </c>
      <c r="H157" s="53">
        <f t="shared" si="20"/>
        <v>109.57887653833217</v>
      </c>
      <c r="J157" s="10"/>
      <c r="L157" s="53"/>
      <c r="M157" s="53"/>
      <c r="N157" s="53"/>
      <c r="O157" s="53"/>
      <c r="P157" s="53"/>
      <c r="Q157" s="53"/>
    </row>
    <row r="158" spans="1:17" ht="15" hidden="1" x14ac:dyDescent="0.2">
      <c r="A158" s="10">
        <f t="shared" si="21"/>
        <v>2017</v>
      </c>
      <c r="B158" t="s">
        <v>17</v>
      </c>
      <c r="C158" s="98">
        <f>132.2*1.0101</f>
        <v>133.53521999999998</v>
      </c>
      <c r="D158" s="145">
        <f>130.4/90.3*97.4</f>
        <v>140.65293466223702</v>
      </c>
      <c r="E158" s="145">
        <f>131/99.8*101.8</f>
        <v>133.625250501002</v>
      </c>
      <c r="F158" s="130">
        <f>+F$121*(108.1/103.3)</f>
        <v>103.49554695062925</v>
      </c>
      <c r="G158" s="100">
        <v>0.52</v>
      </c>
      <c r="H158" s="53">
        <f t="shared" si="20"/>
        <v>110.02306842053328</v>
      </c>
    </row>
    <row r="159" spans="1:17" ht="15.75" hidden="1" thickBot="1" x14ac:dyDescent="0.25">
      <c r="A159" s="29">
        <f t="shared" si="21"/>
        <v>2017</v>
      </c>
      <c r="B159" s="30" t="s">
        <v>18</v>
      </c>
      <c r="C159" s="103">
        <f>132.2*1.0101</f>
        <v>133.53521999999998</v>
      </c>
      <c r="D159" s="146">
        <f>130.4/90.3*99.5</f>
        <v>143.68549280177189</v>
      </c>
      <c r="E159" s="146">
        <f>131/99.8*101.9</f>
        <v>133.75651302605212</v>
      </c>
      <c r="F159" s="131">
        <f>+F$121*(108.5/103.3)</f>
        <v>103.87850919651501</v>
      </c>
      <c r="G159" s="104">
        <v>0.63</v>
      </c>
      <c r="H159" s="88">
        <f t="shared" si="20"/>
        <v>110.56703978888491</v>
      </c>
    </row>
    <row r="160" spans="1:17" ht="15" hidden="1" x14ac:dyDescent="0.2">
      <c r="A160" s="2">
        <v>2018</v>
      </c>
      <c r="B160" s="120" t="s">
        <v>8</v>
      </c>
      <c r="C160" s="98">
        <f>132.9*1.0101</f>
        <v>134.24229</v>
      </c>
      <c r="D160" s="145">
        <f>130.4/90.3*99.7</f>
        <v>143.97430786267998</v>
      </c>
      <c r="E160" s="145">
        <f>131/99.8*101.6</f>
        <v>133.36272545090179</v>
      </c>
      <c r="F160" s="130">
        <f>+F$121*(108.7/103.3)</f>
        <v>104.0699903194579</v>
      </c>
      <c r="G160" s="100">
        <v>0.67</v>
      </c>
      <c r="H160" s="53">
        <f t="shared" si="20"/>
        <v>111.03285607145689</v>
      </c>
      <c r="J160" s="120"/>
      <c r="K160" s="98"/>
    </row>
    <row r="161" spans="1:17" ht="15" hidden="1" x14ac:dyDescent="0.2">
      <c r="A161" s="10">
        <f>A160</f>
        <v>2018</v>
      </c>
      <c r="B161" t="s">
        <v>9</v>
      </c>
      <c r="C161" s="98">
        <f>132.9*1.0101</f>
        <v>134.24229</v>
      </c>
      <c r="D161" s="145">
        <f>130.4/90.3*101.2</f>
        <v>146.1404208194906</v>
      </c>
      <c r="E161" s="145">
        <f>131/99.8*101.3</f>
        <v>132.96893787575152</v>
      </c>
      <c r="F161" s="130">
        <f>+F$121*(108.3/103.3)</f>
        <v>103.68702807357212</v>
      </c>
      <c r="G161" s="100">
        <v>0.61</v>
      </c>
      <c r="H161" s="53">
        <f t="shared" si="20"/>
        <v>111.15248364784418</v>
      </c>
      <c r="J161" s="10"/>
      <c r="L161" s="53"/>
      <c r="M161" s="53"/>
      <c r="N161" s="53"/>
      <c r="O161" s="53"/>
      <c r="P161" s="53"/>
      <c r="Q161" s="53"/>
    </row>
    <row r="162" spans="1:17" ht="15" hidden="1" x14ac:dyDescent="0.2">
      <c r="A162" s="12">
        <f t="shared" ref="A162:A171" si="22">A161</f>
        <v>2018</v>
      </c>
      <c r="B162" s="13" t="s">
        <v>10</v>
      </c>
      <c r="C162" s="101">
        <f>132.9*1.0101</f>
        <v>134.24229</v>
      </c>
      <c r="D162" s="135">
        <f>130.4/90.3*102.2</f>
        <v>147.58449612403101</v>
      </c>
      <c r="E162" s="135">
        <f>131/99.8*101</f>
        <v>132.57515030060122</v>
      </c>
      <c r="F162" s="132">
        <f>+F$121*(108.9/103.3)</f>
        <v>104.26147144240079</v>
      </c>
      <c r="G162" s="102">
        <v>0.81</v>
      </c>
      <c r="H162" s="114">
        <f t="shared" si="20"/>
        <v>111.60193835031187</v>
      </c>
    </row>
    <row r="163" spans="1:17" ht="15" hidden="1" x14ac:dyDescent="0.2">
      <c r="A163" s="17">
        <f t="shared" si="22"/>
        <v>2018</v>
      </c>
      <c r="B163" s="120" t="s">
        <v>11</v>
      </c>
      <c r="C163" s="98">
        <f>133.4*1.0101</f>
        <v>134.74734000000001</v>
      </c>
      <c r="D163" s="145">
        <f>130.4/90.3*99.7</f>
        <v>143.97430786267998</v>
      </c>
      <c r="E163" s="145">
        <f>131/99.8*101.7</f>
        <v>133.49398797595191</v>
      </c>
      <c r="F163" s="130">
        <f>+F$121*(109/103.3)</f>
        <v>104.35721200387222</v>
      </c>
      <c r="G163" s="100">
        <v>0.77</v>
      </c>
      <c r="H163" s="53">
        <f t="shared" si="20"/>
        <v>111.47338915006364</v>
      </c>
    </row>
    <row r="164" spans="1:17" ht="15" hidden="1" x14ac:dyDescent="0.2">
      <c r="A164" s="10">
        <f t="shared" si="22"/>
        <v>2018</v>
      </c>
      <c r="B164" t="s">
        <v>12</v>
      </c>
      <c r="C164" s="98">
        <f>133.4*1.0101</f>
        <v>134.74734000000001</v>
      </c>
      <c r="D164" s="145">
        <f>130.4/90.3*100.8</f>
        <v>145.56279069767442</v>
      </c>
      <c r="E164" s="145">
        <f>131/99.8*101.7</f>
        <v>133.49398797595191</v>
      </c>
      <c r="F164" s="130">
        <f>+F$121*(109/103.3)</f>
        <v>104.35721200387222</v>
      </c>
      <c r="G164" s="100">
        <v>0.62</v>
      </c>
      <c r="H164" s="53">
        <f t="shared" si="20"/>
        <v>111.47381500418471</v>
      </c>
    </row>
    <row r="165" spans="1:17" ht="15.75" hidden="1" thickBot="1" x14ac:dyDescent="0.25">
      <c r="A165" s="29">
        <f t="shared" si="22"/>
        <v>2018</v>
      </c>
      <c r="B165" s="30" t="s">
        <v>13</v>
      </c>
      <c r="C165" s="103">
        <f>133.4*1.0101</f>
        <v>134.74734000000001</v>
      </c>
      <c r="D165" s="146">
        <f>130.4/90.3*103.8</f>
        <v>149.89501661129569</v>
      </c>
      <c r="E165" s="146">
        <f>131/99.8*102.2</f>
        <v>134.15030060120242</v>
      </c>
      <c r="F165" s="131">
        <f>+F$121*(109.1/103.3)</f>
        <v>104.45295256534367</v>
      </c>
      <c r="G165" s="104">
        <v>0.76</v>
      </c>
      <c r="H165" s="88">
        <f t="shared" si="20"/>
        <v>112.21998969287162</v>
      </c>
      <c r="I165" s="5"/>
    </row>
    <row r="166" spans="1:17" ht="15" hidden="1" x14ac:dyDescent="0.2">
      <c r="A166" s="10">
        <f t="shared" si="22"/>
        <v>2018</v>
      </c>
      <c r="B166" t="s">
        <v>30</v>
      </c>
      <c r="C166" s="98">
        <f>134*1.0101</f>
        <v>135.35339999999999</v>
      </c>
      <c r="D166" s="145">
        <f>130.4/90.3*110.6</f>
        <v>159.71472868217054</v>
      </c>
      <c r="E166" s="145">
        <f>131/99.8*102.4</f>
        <v>134.41282565130263</v>
      </c>
      <c r="F166" s="130">
        <f>+F$121*(109.2/103.3)</f>
        <v>104.54869312681511</v>
      </c>
      <c r="G166" s="100">
        <v>0.6</v>
      </c>
      <c r="H166" s="53">
        <f t="shared" si="20"/>
        <v>113.54964250169532</v>
      </c>
      <c r="J166" s="10"/>
      <c r="L166" s="53"/>
      <c r="M166" s="53"/>
      <c r="N166" s="53"/>
      <c r="O166" s="53"/>
      <c r="P166" s="53"/>
      <c r="Q166" s="53"/>
    </row>
    <row r="167" spans="1:17" ht="15" hidden="1" x14ac:dyDescent="0.2">
      <c r="A167" s="10">
        <f t="shared" si="22"/>
        <v>2018</v>
      </c>
      <c r="B167" t="s">
        <v>14</v>
      </c>
      <c r="C167" s="98">
        <f>134*1.0101</f>
        <v>135.35339999999999</v>
      </c>
      <c r="D167" s="145">
        <f>130.4/90.3*110.3</f>
        <v>159.28150609080842</v>
      </c>
      <c r="E167" s="145">
        <f>131/99.8*102.3</f>
        <v>134.28156312625251</v>
      </c>
      <c r="F167" s="130">
        <f>+F$121*(108.2/103.3)</f>
        <v>103.59128751210068</v>
      </c>
      <c r="G167" s="100">
        <v>0.53</v>
      </c>
      <c r="H167" s="53">
        <f t="shared" si="20"/>
        <v>113.31218632829508</v>
      </c>
    </row>
    <row r="168" spans="1:17" ht="15" hidden="1" x14ac:dyDescent="0.2">
      <c r="A168" s="12">
        <f t="shared" si="22"/>
        <v>2018</v>
      </c>
      <c r="B168" s="13" t="s">
        <v>15</v>
      </c>
      <c r="C168" s="101">
        <f>134*1.0101</f>
        <v>135.35339999999999</v>
      </c>
      <c r="D168" s="135">
        <f>130.4/90.3*110.4</f>
        <v>159.42591362126248</v>
      </c>
      <c r="E168" s="135">
        <f>131/99.8*103.1</f>
        <v>135.33166332665331</v>
      </c>
      <c r="F168" s="132">
        <f>+F$121*(108.8/103.3)</f>
        <v>104.16573088092933</v>
      </c>
      <c r="G168" s="102">
        <v>0.63</v>
      </c>
      <c r="H168" s="114">
        <f t="shared" si="20"/>
        <v>113.58114205607819</v>
      </c>
    </row>
    <row r="169" spans="1:17" ht="15" hidden="1" x14ac:dyDescent="0.2">
      <c r="A169" s="17">
        <f t="shared" si="22"/>
        <v>2018</v>
      </c>
      <c r="B169" s="120" t="s">
        <v>16</v>
      </c>
      <c r="C169" s="98">
        <f>135.2*1.0101</f>
        <v>136.56551999999999</v>
      </c>
      <c r="D169" s="145">
        <f>130.4/90.3*110.1</f>
        <v>158.99269102990033</v>
      </c>
      <c r="E169" s="145">
        <f>131/99.8*102.7</f>
        <v>134.80661322645292</v>
      </c>
      <c r="F169" s="130">
        <f>+F$121*(108.7/103.3)</f>
        <v>104.0699903194579</v>
      </c>
      <c r="G169" s="100">
        <v>0.69</v>
      </c>
      <c r="H169" s="53">
        <f t="shared" si="20"/>
        <v>114.22947809124688</v>
      </c>
    </row>
    <row r="170" spans="1:17" ht="15" hidden="1" x14ac:dyDescent="0.2">
      <c r="A170" s="10">
        <f t="shared" si="22"/>
        <v>2018</v>
      </c>
      <c r="B170" t="s">
        <v>17</v>
      </c>
      <c r="C170" s="98">
        <f>135.2*1.0101</f>
        <v>136.56551999999999</v>
      </c>
      <c r="D170" s="145">
        <f>130.4/90.3*111.2</f>
        <v>160.58117386489479</v>
      </c>
      <c r="E170" s="145">
        <f>131/99.8*102.4</f>
        <v>134.41282565130263</v>
      </c>
      <c r="F170" s="130">
        <f>+F$121*(109.4/103.3)</f>
        <v>104.74017424975801</v>
      </c>
      <c r="G170" s="100">
        <v>0.57999999999999996</v>
      </c>
      <c r="H170" s="53">
        <f t="shared" si="20"/>
        <v>114.3150610558983</v>
      </c>
    </row>
    <row r="171" spans="1:17" ht="15.75" hidden="1" thickBot="1" x14ac:dyDescent="0.25">
      <c r="A171" s="29">
        <f t="shared" si="22"/>
        <v>2018</v>
      </c>
      <c r="B171" s="30" t="s">
        <v>18</v>
      </c>
      <c r="C171" s="103">
        <f>135.2*1.0101</f>
        <v>136.56551999999999</v>
      </c>
      <c r="D171" s="146">
        <f>130.4/90.3*115.7</f>
        <v>167.07951273532669</v>
      </c>
      <c r="E171" s="146">
        <f>131/99.8*102.7</f>
        <v>134.80661322645292</v>
      </c>
      <c r="F171" s="131">
        <f>+F$121*(109.9/103.3)</f>
        <v>105.21887705711521</v>
      </c>
      <c r="G171" s="104">
        <v>0.62</v>
      </c>
      <c r="H171" s="88">
        <f t="shared" si="20"/>
        <v>115.21063260362148</v>
      </c>
    </row>
    <row r="172" spans="1:17" ht="15" hidden="1" x14ac:dyDescent="0.2">
      <c r="A172" s="2">
        <v>2019</v>
      </c>
      <c r="B172" s="120" t="s">
        <v>8</v>
      </c>
      <c r="C172" s="98">
        <f>135.8*1.0101</f>
        <v>137.17158000000001</v>
      </c>
      <c r="D172" s="145">
        <f>130.4/90.3*114.5</f>
        <v>165.34662236987819</v>
      </c>
      <c r="E172" s="145">
        <f>131/99.8*102.4</f>
        <v>134.41282565130263</v>
      </c>
      <c r="F172" s="130">
        <f>+F$121*(109.9/103.3)</f>
        <v>105.21887705711521</v>
      </c>
      <c r="G172" s="100">
        <v>0.63</v>
      </c>
      <c r="H172" s="53">
        <f>100+((C172-$C$40)/$C$40*100*$C$2)+((D172-$D$40)/$D$40*100*$D$2)+((E172-$E$40)/$E$40*100*$E$2)+((F172-$F$40)/$F$40*100*$F$2)+((G172-$G$40)/$G$40*100*$G$2)</f>
        <v>115.32447919702147</v>
      </c>
    </row>
    <row r="173" spans="1:17" ht="15" hidden="1" x14ac:dyDescent="0.2">
      <c r="A173" s="10">
        <f>A172</f>
        <v>2019</v>
      </c>
      <c r="B173" t="s">
        <v>9</v>
      </c>
      <c r="C173" s="98">
        <f>135.8*1.0101</f>
        <v>137.17158000000001</v>
      </c>
      <c r="D173" s="145">
        <f>130.4/90.3*107.4</f>
        <v>155.09368770764121</v>
      </c>
      <c r="E173" s="145">
        <f>131/99.8*102.1</f>
        <v>134.0190380761523</v>
      </c>
      <c r="F173" s="130">
        <f>+F$121*(109.7/103.3)</f>
        <v>105.02739593417233</v>
      </c>
      <c r="G173" s="100">
        <v>0.63</v>
      </c>
      <c r="H173" s="53">
        <f t="shared" ref="H173:H209" si="23">100+((C173-$C$40)/$C$40*100*$C$2)+((D173-$D$40)/$D$40*100*$D$2)+((E173-$E$40)/$E$40*100*$E$2)+((F173-$F$40)/$F$40*100*$F$2)+((G173-$G$40)/$G$40*100*$G$2)</f>
        <v>114.05886841449308</v>
      </c>
    </row>
    <row r="174" spans="1:17" ht="15" hidden="1" x14ac:dyDescent="0.2">
      <c r="A174" s="12">
        <f t="shared" ref="A174:A180" si="24">A173</f>
        <v>2019</v>
      </c>
      <c r="B174" s="13" t="s">
        <v>10</v>
      </c>
      <c r="C174" s="101">
        <f>135.8*1.0101</f>
        <v>137.17158000000001</v>
      </c>
      <c r="D174" s="135">
        <f>130.4/90.3*105.4</f>
        <v>152.20553709856037</v>
      </c>
      <c r="E174" s="135">
        <f>131/99.8*102.3</f>
        <v>134.28156312625251</v>
      </c>
      <c r="F174" s="132">
        <f>+F$173*(103.3/103.6)</f>
        <v>104.72326254826257</v>
      </c>
      <c r="G174" s="102">
        <v>0.68</v>
      </c>
      <c r="H174" s="114">
        <f t="shared" si="23"/>
        <v>113.76792809580697</v>
      </c>
    </row>
    <row r="175" spans="1:17" ht="15" hidden="1" x14ac:dyDescent="0.2">
      <c r="A175" s="17">
        <f t="shared" si="24"/>
        <v>2019</v>
      </c>
      <c r="B175" s="120" t="s">
        <v>11</v>
      </c>
      <c r="C175" s="98">
        <f>136.4*1.0101</f>
        <v>137.77764000000002</v>
      </c>
      <c r="D175" s="145">
        <f>130.4/90.3*107.8</f>
        <v>155.67131782945737</v>
      </c>
      <c r="E175" s="145">
        <f>131/99.8*102.8</f>
        <v>134.93787575150301</v>
      </c>
      <c r="F175" s="130">
        <f>+F$173*(103.6/103.6)</f>
        <v>105.02739593417233</v>
      </c>
      <c r="G175" s="100">
        <v>0.55000000000000004</v>
      </c>
      <c r="H175" s="53">
        <f t="shared" si="23"/>
        <v>114.42548718976133</v>
      </c>
    </row>
    <row r="176" spans="1:17" ht="15" hidden="1" x14ac:dyDescent="0.2">
      <c r="A176" s="10">
        <f t="shared" si="24"/>
        <v>2019</v>
      </c>
      <c r="B176" t="s">
        <v>12</v>
      </c>
      <c r="C176" s="98">
        <f>136.4*1.0101</f>
        <v>137.77764000000002</v>
      </c>
      <c r="D176" s="145">
        <f>130.4/90.3*110.5</f>
        <v>159.57032115171651</v>
      </c>
      <c r="E176" s="145">
        <f>131/99.8*102.9</f>
        <v>135.06913827655313</v>
      </c>
      <c r="F176" s="130">
        <f>+F$173*(103.7/103.6)</f>
        <v>105.12877372947561</v>
      </c>
      <c r="G176" s="100">
        <f t="shared" ref="G176:G239" si="25">+G175</f>
        <v>0.55000000000000004</v>
      </c>
      <c r="H176" s="53">
        <f t="shared" si="23"/>
        <v>114.90814252864151</v>
      </c>
    </row>
    <row r="177" spans="1:17" ht="15" hidden="1" x14ac:dyDescent="0.2">
      <c r="A177" s="12">
        <f t="shared" si="24"/>
        <v>2019</v>
      </c>
      <c r="B177" s="13" t="s">
        <v>13</v>
      </c>
      <c r="C177" s="101">
        <f>136.4*1.0101</f>
        <v>137.77764000000002</v>
      </c>
      <c r="D177" s="135">
        <f>130.4/90.3*110.9</f>
        <v>160.1479512735327</v>
      </c>
      <c r="E177" s="135">
        <f>131/99.8*103.2</f>
        <v>135.46292585170343</v>
      </c>
      <c r="F177" s="132">
        <f>+F$173*(104.5/103.6)</f>
        <v>105.93979609190164</v>
      </c>
      <c r="G177" s="102">
        <v>0.59</v>
      </c>
      <c r="H177" s="114">
        <f t="shared" si="23"/>
        <v>115.12966981526006</v>
      </c>
    </row>
    <row r="178" spans="1:17" ht="15" hidden="1" x14ac:dyDescent="0.2">
      <c r="A178" s="10">
        <f>+A177</f>
        <v>2019</v>
      </c>
      <c r="B178" t="s">
        <v>30</v>
      </c>
      <c r="C178" s="98">
        <f>136.6*1.0101</f>
        <v>137.97966</v>
      </c>
      <c r="D178" s="145">
        <f>130.4/90.3*112.1</f>
        <v>161.88084163898117</v>
      </c>
      <c r="E178" s="145">
        <f>131/99.8*103.1</f>
        <v>135.33166332665331</v>
      </c>
      <c r="F178" s="130">
        <f>+F$173*(104.6/103.6)</f>
        <v>106.04117388720489</v>
      </c>
      <c r="G178" s="100">
        <v>0.56999999999999995</v>
      </c>
      <c r="H178" s="53">
        <f t="shared" si="23"/>
        <v>115.4227270377541</v>
      </c>
    </row>
    <row r="179" spans="1:17" ht="15" hidden="1" x14ac:dyDescent="0.2">
      <c r="A179" s="10">
        <f t="shared" si="24"/>
        <v>2019</v>
      </c>
      <c r="B179" t="s">
        <v>14</v>
      </c>
      <c r="C179" s="98">
        <f>136.6*1.0101</f>
        <v>137.97966</v>
      </c>
      <c r="D179" s="145">
        <f>130.4/90.3*107.1</f>
        <v>154.66046511627906</v>
      </c>
      <c r="E179" s="145">
        <f>131/99.8*102.9</f>
        <v>135.06913827655313</v>
      </c>
      <c r="F179" s="130">
        <f>+F$173*(105/103.6)</f>
        <v>106.44668506841791</v>
      </c>
      <c r="G179" s="100">
        <v>0.39</v>
      </c>
      <c r="H179" s="53">
        <f t="shared" si="23"/>
        <v>114.35614575682416</v>
      </c>
    </row>
    <row r="180" spans="1:17" ht="15" hidden="1" x14ac:dyDescent="0.2">
      <c r="A180" s="12">
        <f t="shared" si="24"/>
        <v>2019</v>
      </c>
      <c r="B180" s="13" t="s">
        <v>15</v>
      </c>
      <c r="C180" s="101">
        <f>136.6*1.0101</f>
        <v>137.97966</v>
      </c>
      <c r="D180" s="135">
        <f>130.4/90.3*108.2</f>
        <v>156.24894795127355</v>
      </c>
      <c r="E180" s="135">
        <f>131/99.8*103.5</f>
        <v>135.85671342685373</v>
      </c>
      <c r="F180" s="132">
        <f>+F$173*(104.4/103.6)</f>
        <v>105.83841829659839</v>
      </c>
      <c r="G180" s="102">
        <v>0.3</v>
      </c>
      <c r="H180" s="114">
        <f t="shared" si="23"/>
        <v>114.43021496834194</v>
      </c>
    </row>
    <row r="181" spans="1:17" ht="15" hidden="1" x14ac:dyDescent="0.2">
      <c r="A181" s="17"/>
      <c r="B181" s="120" t="s">
        <v>16</v>
      </c>
      <c r="C181" s="98">
        <f>137.8*1.0101</f>
        <v>139.19178000000002</v>
      </c>
      <c r="D181" s="145">
        <f>130.4/90.3*107</f>
        <v>154.51605758582502</v>
      </c>
      <c r="E181" s="145">
        <f>131/99.8*103.1</f>
        <v>135.33166332665331</v>
      </c>
      <c r="F181" s="130">
        <f>+F$173*(104.1/103.6)</f>
        <v>105.5342849106886</v>
      </c>
      <c r="G181" s="100">
        <v>0.21</v>
      </c>
      <c r="H181" s="53">
        <f t="shared" si="23"/>
        <v>114.7158339003598</v>
      </c>
    </row>
    <row r="182" spans="1:17" ht="15" hidden="1" x14ac:dyDescent="0.2">
      <c r="A182" s="10"/>
      <c r="B182" t="s">
        <v>17</v>
      </c>
      <c r="C182" s="98">
        <f>137.8*1.0101</f>
        <v>139.19178000000002</v>
      </c>
      <c r="D182" s="145">
        <f>130.4/90.3*110.4</f>
        <v>159.42591362126248</v>
      </c>
      <c r="E182" s="145">
        <f>131/99.8*102.9</f>
        <v>135.06913827655313</v>
      </c>
      <c r="F182" s="130">
        <f>+F$173*(103.9/103.6)</f>
        <v>105.3315293200821</v>
      </c>
      <c r="G182" s="100">
        <v>0.26</v>
      </c>
      <c r="H182" s="53">
        <f t="shared" si="23"/>
        <v>115.32625709959333</v>
      </c>
    </row>
    <row r="183" spans="1:17" ht="15.75" hidden="1" thickBot="1" x14ac:dyDescent="0.25">
      <c r="A183" s="29"/>
      <c r="B183" s="30" t="s">
        <v>18</v>
      </c>
      <c r="C183" s="103">
        <f>137.8*1.0101</f>
        <v>139.19178000000002</v>
      </c>
      <c r="D183" s="146">
        <f>130.4/90.3*109.9</f>
        <v>158.70387596899226</v>
      </c>
      <c r="E183" s="146">
        <f>131/99.8*103.3</f>
        <v>135.59418837675352</v>
      </c>
      <c r="F183" s="131">
        <f>+F$173*(103.7/103.6)</f>
        <v>105.12877372947561</v>
      </c>
      <c r="G183" s="104">
        <v>0.34</v>
      </c>
      <c r="H183" s="88">
        <f t="shared" si="23"/>
        <v>115.35850327339361</v>
      </c>
    </row>
    <row r="184" spans="1:17" ht="15.75" hidden="1" x14ac:dyDescent="0.25">
      <c r="A184" s="2" t="s">
        <v>68</v>
      </c>
      <c r="B184" s="2" t="s">
        <v>28</v>
      </c>
      <c r="C184" s="63">
        <f>(C187/C$40*C$2)/$H$187*100</f>
        <v>0.62437330984782446</v>
      </c>
      <c r="D184" s="63">
        <f t="shared" ref="D184:G184" si="26">(D187/D$40*D$2)/$H$187*100</f>
        <v>0.21756670770504191</v>
      </c>
      <c r="E184" s="63">
        <f t="shared" si="26"/>
        <v>7.5519557282073158E-2</v>
      </c>
      <c r="F184" s="63">
        <f t="shared" si="26"/>
        <v>7.8885060784657013E-2</v>
      </c>
      <c r="G184" s="63">
        <f t="shared" si="26"/>
        <v>3.6553643804033962E-3</v>
      </c>
      <c r="H184" s="25"/>
    </row>
    <row r="185" spans="1:17" ht="15" x14ac:dyDescent="0.2">
      <c r="A185" t="s">
        <v>1</v>
      </c>
      <c r="B185" t="s">
        <v>2</v>
      </c>
      <c r="C185" s="2" t="s">
        <v>3</v>
      </c>
      <c r="D185" s="26" t="s">
        <v>118</v>
      </c>
      <c r="E185" s="2" t="s">
        <v>5</v>
      </c>
      <c r="F185" s="7" t="s">
        <v>6</v>
      </c>
      <c r="G185" s="2" t="s">
        <v>7</v>
      </c>
      <c r="H185" s="150" t="s">
        <v>0</v>
      </c>
    </row>
    <row r="186" spans="1:17" ht="15" hidden="1" x14ac:dyDescent="0.2">
      <c r="A186" s="2">
        <v>2020</v>
      </c>
      <c r="B186" s="120" t="s">
        <v>8</v>
      </c>
      <c r="C186" s="98">
        <f>138.6*1.0101</f>
        <v>139.99985999999998</v>
      </c>
      <c r="D186" s="147">
        <v>222.2</v>
      </c>
      <c r="E186" s="145">
        <f>131/99.8*103.1</f>
        <v>135.33166332665331</v>
      </c>
      <c r="F186" s="130">
        <f>+F$173*(103.9/103.6)</f>
        <v>105.3315293200821</v>
      </c>
      <c r="G186" s="100">
        <v>0.23</v>
      </c>
      <c r="H186" s="53">
        <f t="shared" si="23"/>
        <v>123.22626336374267</v>
      </c>
      <c r="K186" s="249"/>
      <c r="L186" s="148"/>
      <c r="M186" s="148"/>
      <c r="N186" s="148"/>
      <c r="O186" s="148"/>
      <c r="P186" s="249"/>
    </row>
    <row r="187" spans="1:17" ht="15" hidden="1" x14ac:dyDescent="0.2">
      <c r="A187" s="10">
        <f>A186</f>
        <v>2020</v>
      </c>
      <c r="B187" t="s">
        <v>9</v>
      </c>
      <c r="C187" s="98">
        <f>138.6*1.0101</f>
        <v>139.99985999999998</v>
      </c>
      <c r="D187" s="247">
        <v>226.4</v>
      </c>
      <c r="E187" s="145">
        <f>131/99.8*102.9</f>
        <v>135.06913827655313</v>
      </c>
      <c r="F187" s="130">
        <f>+F$173*(104/103.6)</f>
        <v>105.43290711538535</v>
      </c>
      <c r="G187" s="100">
        <v>0.36</v>
      </c>
      <c r="H187" s="53">
        <f t="shared" si="23"/>
        <v>123.88099832314721</v>
      </c>
    </row>
    <row r="188" spans="1:17" ht="15" hidden="1" x14ac:dyDescent="0.2">
      <c r="A188" s="12">
        <f t="shared" ref="A188:A197" si="27">A187</f>
        <v>2020</v>
      </c>
      <c r="B188" s="13" t="s">
        <v>10</v>
      </c>
      <c r="C188" s="101">
        <f>138.6*1.0101</f>
        <v>139.99985999999998</v>
      </c>
      <c r="D188" s="246">
        <v>229.6</v>
      </c>
      <c r="E188" s="135">
        <f>131/99.8*103</f>
        <v>135.20040080160322</v>
      </c>
      <c r="F188" s="132">
        <f>+F$173*(104.9/103.6)</f>
        <v>106.34530727311467</v>
      </c>
      <c r="G188" s="102">
        <v>0.28999999999999998</v>
      </c>
      <c r="H188" s="114">
        <f t="shared" si="23"/>
        <v>124.26756066697746</v>
      </c>
    </row>
    <row r="189" spans="1:17" ht="15" hidden="1" x14ac:dyDescent="0.2">
      <c r="A189" s="17">
        <f t="shared" si="27"/>
        <v>2020</v>
      </c>
      <c r="B189" s="120" t="s">
        <v>11</v>
      </c>
      <c r="C189" s="98">
        <f>139.2*1.0101</f>
        <v>140.60592</v>
      </c>
      <c r="D189" s="247">
        <v>223.1</v>
      </c>
      <c r="E189" s="145">
        <f>131/99.8*103.6</f>
        <v>135.98797595190382</v>
      </c>
      <c r="F189" s="130">
        <f>+F$173*(105/103.6)</f>
        <v>106.44668506841791</v>
      </c>
      <c r="G189" s="100">
        <v>0.1</v>
      </c>
      <c r="H189" s="53">
        <f t="shared" si="23"/>
        <v>123.65354437132231</v>
      </c>
    </row>
    <row r="190" spans="1:17" ht="15" hidden="1" x14ac:dyDescent="0.2">
      <c r="A190" s="10">
        <f t="shared" si="27"/>
        <v>2020</v>
      </c>
      <c r="B190" t="s">
        <v>12</v>
      </c>
      <c r="C190" s="98">
        <f>139.2*1.0101</f>
        <v>140.60592</v>
      </c>
      <c r="D190" s="147">
        <v>194.2</v>
      </c>
      <c r="E190" s="145">
        <f>131/99.8*103.3</f>
        <v>135.59418837675352</v>
      </c>
      <c r="F190" s="130">
        <f>+F$173*(105.2/103.6)</f>
        <v>106.64944065902444</v>
      </c>
      <c r="G190" s="100">
        <v>0.45</v>
      </c>
      <c r="H190" s="53">
        <f t="shared" si="23"/>
        <v>120.64483742345183</v>
      </c>
    </row>
    <row r="191" spans="1:17" ht="15" hidden="1" x14ac:dyDescent="0.2">
      <c r="A191" s="12">
        <f t="shared" si="27"/>
        <v>2020</v>
      </c>
      <c r="B191" s="13" t="s">
        <v>13</v>
      </c>
      <c r="C191" s="101">
        <f>139.2*1.0101</f>
        <v>140.60592</v>
      </c>
      <c r="D191" s="248">
        <v>186.9</v>
      </c>
      <c r="E191" s="135">
        <f>131/99.8*103.2</f>
        <v>135.46292585170343</v>
      </c>
      <c r="F191" s="132">
        <f>+F$173*(105.2/103.6)</f>
        <v>106.64944065902444</v>
      </c>
      <c r="G191" s="102">
        <v>0.35</v>
      </c>
      <c r="H191" s="114">
        <f t="shared" si="23"/>
        <v>119.64091186425536</v>
      </c>
    </row>
    <row r="192" spans="1:17" ht="15" hidden="1" x14ac:dyDescent="0.2">
      <c r="A192" s="17">
        <f t="shared" si="27"/>
        <v>2020</v>
      </c>
      <c r="B192" s="212" t="s">
        <v>30</v>
      </c>
      <c r="C192" s="98">
        <f>139.8*1.0101</f>
        <v>141.21198000000001</v>
      </c>
      <c r="D192" s="147">
        <v>196.3</v>
      </c>
      <c r="E192" s="145">
        <f>131/99.8*103.1</f>
        <v>135.33166332665331</v>
      </c>
      <c r="F192" s="130">
        <f>+F$173*(105.3/103.6)</f>
        <v>106.75081845432769</v>
      </c>
      <c r="G192" s="100">
        <v>0.23</v>
      </c>
      <c r="H192" s="53">
        <f t="shared" si="23"/>
        <v>120.94416058953486</v>
      </c>
      <c r="Q192" s="120"/>
    </row>
    <row r="193" spans="1:16" ht="15" hidden="1" x14ac:dyDescent="0.2">
      <c r="A193" s="10">
        <f t="shared" si="27"/>
        <v>2020</v>
      </c>
      <c r="B193" t="s">
        <v>14</v>
      </c>
      <c r="C193" s="98">
        <f>139.8*1.0101</f>
        <v>141.21198000000001</v>
      </c>
      <c r="D193" s="247">
        <v>201.5</v>
      </c>
      <c r="E193" s="145">
        <f>131/99.8*103.2</f>
        <v>135.46292585170343</v>
      </c>
      <c r="F193" s="130">
        <f>+F$173*(105.5/103.6)</f>
        <v>106.95357404493419</v>
      </c>
      <c r="G193" s="100">
        <v>0.22</v>
      </c>
      <c r="H193" s="53">
        <f t="shared" si="23"/>
        <v>121.57851436901633</v>
      </c>
    </row>
    <row r="194" spans="1:16" ht="15" hidden="1" x14ac:dyDescent="0.2">
      <c r="A194" s="12">
        <f t="shared" si="27"/>
        <v>2020</v>
      </c>
      <c r="B194" s="13" t="s">
        <v>15</v>
      </c>
      <c r="C194" s="101">
        <f>139.8*1.0101</f>
        <v>141.21198000000001</v>
      </c>
      <c r="D194" s="246">
        <v>207.3</v>
      </c>
      <c r="E194" s="135">
        <f>131/99.8*104</f>
        <v>136.51302605210421</v>
      </c>
      <c r="F194" s="132">
        <f>+F$173*(105.7/103.6)</f>
        <v>107.1563296355407</v>
      </c>
      <c r="G194" s="102">
        <v>0.17</v>
      </c>
      <c r="H194" s="114">
        <f t="shared" si="23"/>
        <v>122.29762469090548</v>
      </c>
    </row>
    <row r="195" spans="1:16" ht="15" hidden="1" x14ac:dyDescent="0.2">
      <c r="A195" s="10">
        <f t="shared" si="27"/>
        <v>2020</v>
      </c>
      <c r="B195" t="s">
        <v>16</v>
      </c>
      <c r="C195" s="98">
        <f>140.2*1.0101</f>
        <v>141.61601999999999</v>
      </c>
      <c r="D195" s="247">
        <v>207.8</v>
      </c>
      <c r="E195" s="145">
        <f>131/99.8*103.6</f>
        <v>135.98797595190382</v>
      </c>
      <c r="F195" s="130">
        <f>+F$173*(106/103.6)</f>
        <v>107.46046302145045</v>
      </c>
      <c r="G195" s="100">
        <v>0.22</v>
      </c>
      <c r="H195" s="53">
        <f t="shared" si="23"/>
        <v>122.63509049525872</v>
      </c>
    </row>
    <row r="196" spans="1:16" ht="15" hidden="1" x14ac:dyDescent="0.2">
      <c r="A196" s="10">
        <f t="shared" si="27"/>
        <v>2020</v>
      </c>
      <c r="B196" t="s">
        <v>17</v>
      </c>
      <c r="C196" s="98">
        <f>140.2*1.0101</f>
        <v>141.61601999999999</v>
      </c>
      <c r="D196" s="147">
        <v>211.8</v>
      </c>
      <c r="E196" s="145">
        <f>131/99.8*103.5</f>
        <v>135.85671342685373</v>
      </c>
      <c r="F196" s="130">
        <f>+F$173*(105.9/103.6)</f>
        <v>107.3590852261472</v>
      </c>
      <c r="G196" s="100">
        <v>0.15</v>
      </c>
      <c r="H196" s="53">
        <f t="shared" si="23"/>
        <v>123.00474238027735</v>
      </c>
    </row>
    <row r="197" spans="1:16" ht="15.75" hidden="1" thickBot="1" x14ac:dyDescent="0.25">
      <c r="A197" s="29">
        <f t="shared" si="27"/>
        <v>2020</v>
      </c>
      <c r="B197" s="30" t="s">
        <v>18</v>
      </c>
      <c r="C197" s="103">
        <f>140.2*1.0101</f>
        <v>141.61601999999999</v>
      </c>
      <c r="D197" s="272">
        <v>212.3</v>
      </c>
      <c r="E197" s="146">
        <f>131/99.8*103.7</f>
        <v>136.11923847695391</v>
      </c>
      <c r="F197" s="131">
        <f>+F$173*(105.7/103.6)</f>
        <v>107.1563296355407</v>
      </c>
      <c r="G197" s="104">
        <v>0.08</v>
      </c>
      <c r="H197" s="88">
        <f t="shared" si="23"/>
        <v>122.97560642843021</v>
      </c>
    </row>
    <row r="198" spans="1:16" ht="15" hidden="1" x14ac:dyDescent="0.2">
      <c r="A198" s="2">
        <v>2021</v>
      </c>
      <c r="B198" s="120" t="s">
        <v>8</v>
      </c>
      <c r="C198" s="98">
        <f>141*1.0101</f>
        <v>142.42410000000001</v>
      </c>
      <c r="D198" s="147">
        <v>239.4</v>
      </c>
      <c r="E198" s="145">
        <f>131/99.8*103.6</f>
        <v>135.98797595190382</v>
      </c>
      <c r="F198" s="130">
        <f>+F$173*(106.1/103.6)</f>
        <v>107.5618408167537</v>
      </c>
      <c r="G198" s="100">
        <v>0.15</v>
      </c>
      <c r="H198" s="53">
        <f t="shared" si="23"/>
        <v>126.7647944814517</v>
      </c>
    </row>
    <row r="199" spans="1:16" ht="15" hidden="1" x14ac:dyDescent="0.2">
      <c r="A199" s="10">
        <f>A198</f>
        <v>2021</v>
      </c>
      <c r="B199" t="s">
        <v>9</v>
      </c>
      <c r="C199" s="98">
        <f>141*1.0101</f>
        <v>142.42410000000001</v>
      </c>
      <c r="D199" s="247">
        <v>239.8</v>
      </c>
      <c r="E199" s="145">
        <f>131/99.8*103.4</f>
        <v>135.72545090180361</v>
      </c>
      <c r="F199" s="130">
        <f>+F$173*(105.8/103.6)</f>
        <v>107.25770743084395</v>
      </c>
      <c r="G199" s="100">
        <v>-0.01</v>
      </c>
      <c r="H199" s="53">
        <f t="shared" si="23"/>
        <v>126.56478261394305</v>
      </c>
      <c r="P199" s="120"/>
    </row>
    <row r="200" spans="1:16" ht="15" hidden="1" x14ac:dyDescent="0.2">
      <c r="A200" s="12">
        <f t="shared" ref="A200:A209" si="28">A199</f>
        <v>2021</v>
      </c>
      <c r="B200" s="13" t="s">
        <v>10</v>
      </c>
      <c r="C200" s="101">
        <f>141*1.0101</f>
        <v>142.42410000000001</v>
      </c>
      <c r="D200" s="246">
        <v>249.6</v>
      </c>
      <c r="E200" s="135">
        <f>131/99.8*103.6</f>
        <v>135.98797595190382</v>
      </c>
      <c r="F200" s="132">
        <f>+F$173*(106.9/103.6)</f>
        <v>108.37286317917976</v>
      </c>
      <c r="G200" s="102">
        <v>0.14000000000000001</v>
      </c>
      <c r="H200" s="114">
        <f t="shared" si="23"/>
        <v>128.04167358002201</v>
      </c>
      <c r="P200" s="217"/>
    </row>
    <row r="201" spans="1:16" ht="15" hidden="1" x14ac:dyDescent="0.2">
      <c r="A201" s="17">
        <f t="shared" si="28"/>
        <v>2021</v>
      </c>
      <c r="B201" s="120" t="s">
        <v>11</v>
      </c>
      <c r="C201" s="98">
        <f>141.6*1.0101</f>
        <v>143.03016</v>
      </c>
      <c r="D201" s="247">
        <v>276.39999999999998</v>
      </c>
      <c r="E201" s="145">
        <f>131/99.8*104.2</f>
        <v>136.77555110220442</v>
      </c>
      <c r="F201" s="130">
        <f>+F$173*(107.1/103.6)</f>
        <v>108.57561876978626</v>
      </c>
      <c r="G201" s="100">
        <v>0.33</v>
      </c>
      <c r="H201" s="53">
        <f t="shared" si="23"/>
        <v>131.87932692011586</v>
      </c>
    </row>
    <row r="202" spans="1:16" ht="15" hidden="1" x14ac:dyDescent="0.2">
      <c r="A202" s="10">
        <f t="shared" si="28"/>
        <v>2021</v>
      </c>
      <c r="B202" t="s">
        <v>12</v>
      </c>
      <c r="C202" s="98">
        <f>141.6*1.0101</f>
        <v>143.03016</v>
      </c>
      <c r="D202" s="147">
        <v>287.39999999999998</v>
      </c>
      <c r="E202" s="145">
        <f>131/99.8*104.3</f>
        <v>136.90681362725451</v>
      </c>
      <c r="F202" s="130">
        <f>+F$173*(107.7/103.6)</f>
        <v>109.1838855416058</v>
      </c>
      <c r="G202" s="100">
        <v>0.44</v>
      </c>
      <c r="H202" s="53">
        <f t="shared" si="23"/>
        <v>133.39268628661836</v>
      </c>
    </row>
    <row r="203" spans="1:16" ht="15" hidden="1" x14ac:dyDescent="0.2">
      <c r="A203" s="12">
        <f t="shared" si="28"/>
        <v>2021</v>
      </c>
      <c r="B203" s="13" t="s">
        <v>13</v>
      </c>
      <c r="C203" s="101">
        <f>141.6*1.0101</f>
        <v>143.03016</v>
      </c>
      <c r="D203" s="248">
        <v>301.89999999999998</v>
      </c>
      <c r="E203" s="135">
        <f>131/99.8*104.7</f>
        <v>137.43186372745492</v>
      </c>
      <c r="F203" s="132">
        <f>+F$173*(108/103.6)</f>
        <v>109.48801892751557</v>
      </c>
      <c r="G203" s="102">
        <v>0.39</v>
      </c>
      <c r="H203" s="114">
        <f t="shared" si="23"/>
        <v>135.12054028779397</v>
      </c>
    </row>
    <row r="204" spans="1:16" ht="15" hidden="1" x14ac:dyDescent="0.2">
      <c r="A204" s="17">
        <f t="shared" si="28"/>
        <v>2021</v>
      </c>
      <c r="B204" s="212" t="s">
        <v>30</v>
      </c>
      <c r="C204" s="98">
        <f>142.6*1.0101</f>
        <v>144.04025999999999</v>
      </c>
      <c r="D204" s="147">
        <v>345.2</v>
      </c>
      <c r="E204" s="145">
        <f>131/99.8*104.9</f>
        <v>137.69438877755513</v>
      </c>
      <c r="F204" s="130">
        <f>+F$173*(108.2/103.6)</f>
        <v>109.69077451812207</v>
      </c>
      <c r="G204" s="100">
        <v>0.48</v>
      </c>
      <c r="H204" s="53">
        <f t="shared" si="23"/>
        <v>140.98355259148113</v>
      </c>
      <c r="K204" s="139"/>
    </row>
    <row r="205" spans="1:16" ht="15" hidden="1" x14ac:dyDescent="0.2">
      <c r="A205" s="10">
        <f t="shared" si="28"/>
        <v>2021</v>
      </c>
      <c r="B205" t="s">
        <v>14</v>
      </c>
      <c r="C205" s="98">
        <f>142.6*1.0101</f>
        <v>144.04025999999999</v>
      </c>
      <c r="D205" s="247">
        <v>348.7</v>
      </c>
      <c r="E205" s="145">
        <f>131/99.8*105</f>
        <v>137.82565130260522</v>
      </c>
      <c r="F205" s="130">
        <f>+F$173*(108.4/103.6)</f>
        <v>109.8935301087286</v>
      </c>
      <c r="G205" s="100">
        <v>0.42</v>
      </c>
      <c r="H205" s="53">
        <f t="shared" si="23"/>
        <v>141.35263233682068</v>
      </c>
    </row>
    <row r="206" spans="1:16" ht="15" hidden="1" x14ac:dyDescent="0.2">
      <c r="A206" s="12">
        <f t="shared" si="28"/>
        <v>2021</v>
      </c>
      <c r="B206" s="13" t="s">
        <v>15</v>
      </c>
      <c r="C206" s="101">
        <f>142.6*1.0101</f>
        <v>144.04025999999999</v>
      </c>
      <c r="D206" s="246">
        <v>314.2</v>
      </c>
      <c r="E206" s="135">
        <f>131/99.8*105.7</f>
        <v>138.74448897795594</v>
      </c>
      <c r="F206" s="132">
        <f>+F$173*(108.5/103.6)</f>
        <v>109.99490790403185</v>
      </c>
      <c r="G206" s="102">
        <v>0.37</v>
      </c>
      <c r="H206" s="114">
        <f t="shared" si="23"/>
        <v>137.25563533438429</v>
      </c>
    </row>
    <row r="207" spans="1:16" ht="15" hidden="1" x14ac:dyDescent="0.2">
      <c r="A207" s="10">
        <f t="shared" si="28"/>
        <v>2021</v>
      </c>
      <c r="B207" t="s">
        <v>16</v>
      </c>
      <c r="C207" s="98">
        <f>144.1*1.0101</f>
        <v>145.55540999999999</v>
      </c>
      <c r="D207" s="247">
        <v>335.2</v>
      </c>
      <c r="E207" s="145">
        <f>131/99.8*105.5</f>
        <v>138.48196392785573</v>
      </c>
      <c r="F207" s="130">
        <f>+F$173*(108.7/103.6)</f>
        <v>110.19766349463836</v>
      </c>
      <c r="G207" s="100">
        <v>0.4</v>
      </c>
      <c r="H207" s="53">
        <f t="shared" si="23"/>
        <v>140.63108007786025</v>
      </c>
    </row>
    <row r="208" spans="1:16" ht="15" hidden="1" x14ac:dyDescent="0.2">
      <c r="A208" s="10">
        <f t="shared" si="28"/>
        <v>2021</v>
      </c>
      <c r="B208" t="s">
        <v>17</v>
      </c>
      <c r="C208" s="98">
        <f>144.1*1.0101</f>
        <v>145.55540999999999</v>
      </c>
      <c r="D208" s="147">
        <v>365</v>
      </c>
      <c r="E208" s="145">
        <f>131/99.8*105.8</f>
        <v>138.87575150300603</v>
      </c>
      <c r="F208" s="130">
        <f>+F$173*(109.3/103.6)</f>
        <v>110.80593026645788</v>
      </c>
      <c r="G208" s="100">
        <v>0.45</v>
      </c>
      <c r="H208" s="53">
        <f t="shared" si="23"/>
        <v>144.32524653759845</v>
      </c>
    </row>
    <row r="209" spans="1:13 16257:16328" ht="15.75" hidden="1" thickBot="1" x14ac:dyDescent="0.25">
      <c r="A209" s="29">
        <f t="shared" si="28"/>
        <v>2021</v>
      </c>
      <c r="B209" s="30" t="s">
        <v>18</v>
      </c>
      <c r="C209" s="103">
        <f>144.1*1.0101</f>
        <v>145.55540999999999</v>
      </c>
      <c r="D209" s="272">
        <v>403.3</v>
      </c>
      <c r="E209" s="146">
        <f>131/99.8*106.8</f>
        <v>140.18837675350701</v>
      </c>
      <c r="F209" s="131">
        <f>+F$173*(109.8/103.6)</f>
        <v>111.31281924297416</v>
      </c>
      <c r="G209" s="104">
        <v>0.49</v>
      </c>
      <c r="H209" s="88">
        <f t="shared" si="23"/>
        <v>149.07298507919754</v>
      </c>
    </row>
    <row r="210" spans="1:13 16257:16328" ht="15" x14ac:dyDescent="0.2">
      <c r="A210" s="2">
        <v>2022</v>
      </c>
      <c r="B210" s="120" t="s">
        <v>8</v>
      </c>
      <c r="C210" s="98">
        <f>144.9*1.0101</f>
        <v>146.36349000000001</v>
      </c>
      <c r="D210" s="147">
        <v>421.5</v>
      </c>
      <c r="E210" s="145">
        <f>131/99.8*107.1</f>
        <v>140.58216432865731</v>
      </c>
      <c r="F210" s="130">
        <f>+F$173*(109.7/103.6)</f>
        <v>111.21144144767091</v>
      </c>
      <c r="G210" s="100">
        <v>0.42</v>
      </c>
      <c r="H210" s="53">
        <f t="shared" ref="H210" si="29">100+((C210-$C$40)/$C$40*100*$C$2)+((D210-$D$40)/$D$40*100*$D$2)+((E210-$E$40)/$E$40*100*$E$2)+((F210-$F$40)/$F$40*100*$F$2)+((G210-$G$40)/$G$40*100*$G$2)</f>
        <v>151.6159332998738</v>
      </c>
    </row>
    <row r="211" spans="1:13 16257:16328" ht="15" x14ac:dyDescent="0.2">
      <c r="A211" s="10">
        <f>A210</f>
        <v>2022</v>
      </c>
      <c r="B211" s="120" t="s">
        <v>9</v>
      </c>
      <c r="C211" s="98">
        <f>144.9*1.0101</f>
        <v>146.36349000000001</v>
      </c>
      <c r="D211" s="247">
        <v>427.4</v>
      </c>
      <c r="E211" s="145">
        <f>131/99.8*106.6</f>
        <v>139.92585170340681</v>
      </c>
      <c r="F211" s="130">
        <f>+F$173*(110.3/103.6)</f>
        <v>111.81970821949042</v>
      </c>
      <c r="G211" s="100">
        <v>0.54</v>
      </c>
      <c r="H211" s="53">
        <f t="shared" ref="H211" si="30">100+((C211-$C$40)/$C$40*100*$C$2)+((D211-$D$40)/$D$40*100*$D$2)+((E211-$E$40)/$E$40*100*$E$2)+((F211-$F$40)/$F$40*100*$F$2)+((G211-$G$40)/$G$40*100*$G$2)</f>
        <v>152.48017776582452</v>
      </c>
      <c r="M211" s="120"/>
    </row>
    <row r="212" spans="1:13 16257:16328" ht="15" x14ac:dyDescent="0.2">
      <c r="A212" s="12">
        <f t="shared" ref="A212:A221" si="31">A211</f>
        <v>2022</v>
      </c>
      <c r="B212" s="13" t="s">
        <v>10</v>
      </c>
      <c r="C212" s="101">
        <f>144.9*1.0101</f>
        <v>146.36349000000001</v>
      </c>
      <c r="D212" s="246">
        <v>426.8</v>
      </c>
      <c r="E212" s="135">
        <f>131/99.8*108.1</f>
        <v>141.89478957915833</v>
      </c>
      <c r="F212" s="132">
        <f>+F$173*(113.2/103.6)</f>
        <v>114.75966428328483</v>
      </c>
      <c r="G212" s="102">
        <v>0.7</v>
      </c>
      <c r="H212" s="114">
        <f t="shared" ref="H212" si="32">100+((C212-$C$40)/$C$40*100*$C$2)+((D212-$D$40)/$D$40*100*$D$2)+((E212-$E$40)/$E$40*100*$E$2)+((F212-$F$40)/$F$40*100*$F$2)+((G212-$G$40)/$G$40*100*$G$2)</f>
        <v>153.01888220774231</v>
      </c>
    </row>
    <row r="213" spans="1:13 16257:16328" ht="15" x14ac:dyDescent="0.2">
      <c r="A213" s="17">
        <f t="shared" si="31"/>
        <v>2022</v>
      </c>
      <c r="B213" s="18" t="s">
        <v>11</v>
      </c>
      <c r="C213" s="98">
        <f>145.2*1.0101</f>
        <v>146.66651999999999</v>
      </c>
      <c r="D213" s="247">
        <v>408.6</v>
      </c>
      <c r="E213" s="145">
        <f>131/99.8*109.2</f>
        <v>143.33867735470943</v>
      </c>
      <c r="F213" s="130">
        <f>+F$173*(113.6/103.6)</f>
        <v>115.16517546449785</v>
      </c>
      <c r="G213" s="100">
        <v>1.04</v>
      </c>
      <c r="H213" s="53">
        <f t="shared" ref="H213" si="33">100+((C213-$C$40)/$C$40*100*$C$2)+((D213-$D$40)/$D$40*100*$D$2)+((E213-$E$40)/$E$40*100*$E$2)+((F213-$F$40)/$F$40*100*$F$2)+((G213-$G$40)/$G$40*100*$G$2)</f>
        <v>151.58490392976699</v>
      </c>
    </row>
    <row r="214" spans="1:13 16257:16328" ht="15" x14ac:dyDescent="0.2">
      <c r="A214" s="10">
        <f t="shared" si="31"/>
        <v>2022</v>
      </c>
      <c r="B214" t="s">
        <v>12</v>
      </c>
      <c r="C214" s="98">
        <f>145.2*1.0101</f>
        <v>146.66651999999999</v>
      </c>
      <c r="D214" s="147">
        <v>522</v>
      </c>
      <c r="E214" s="145">
        <f>131/99.8*109.9</f>
        <v>144.25751503006015</v>
      </c>
      <c r="F214" s="130">
        <f>+F$173*(113.8/103.6)</f>
        <v>115.36793105510438</v>
      </c>
      <c r="G214" s="100">
        <v>1.24</v>
      </c>
      <c r="H214" s="53">
        <f t="shared" ref="H214" si="34">100+((C214-$C$40)/$C$40*100*$C$2)+((D214-$D$40)/$D$40*100*$D$2)+((E214-$E$40)/$E$40*100*$E$2)+((F214-$F$40)/$F$40*100*$F$2)+((G214-$G$40)/$G$40*100*$G$2)</f>
        <v>165.4189116933581</v>
      </c>
    </row>
    <row r="215" spans="1:13 16257:16328" ht="15.75" thickBot="1" x14ac:dyDescent="0.25">
      <c r="A215" s="29">
        <f t="shared" si="31"/>
        <v>2022</v>
      </c>
      <c r="B215" s="30" t="s">
        <v>13</v>
      </c>
      <c r="C215" s="103">
        <f>145.2*1.0101</f>
        <v>146.66651999999999</v>
      </c>
      <c r="D215" s="272">
        <v>555.63228150951568</v>
      </c>
      <c r="E215" s="146">
        <f>131/99.8*111.7</f>
        <v>146.62024048096194</v>
      </c>
      <c r="F215" s="131">
        <f>+F$173*(115.9/103.6)</f>
        <v>117.49686475647272</v>
      </c>
      <c r="G215" s="104">
        <v>1.58</v>
      </c>
      <c r="H215" s="88">
        <f t="shared" ref="H215:H220" si="35">100+((C215-$C$40)/$C$40*100*$C$2)+((D215-$D$40)/$D$40*100*$D$2)+((E215-$E$40)/$E$40*100*$E$2)+((F215-$F$40)/$F$40*100*$F$2)+((G215-$G$40)/$G$40*100*$G$2)</f>
        <v>170.21140616713495</v>
      </c>
      <c r="XCS215" s="29"/>
      <c r="XCT215" s="30"/>
      <c r="XCU215" s="103"/>
      <c r="XCV215" s="272"/>
      <c r="XCW215" s="146"/>
      <c r="XCX215" s="131"/>
      <c r="XCY215" s="104"/>
      <c r="XCZ215" s="88"/>
    </row>
    <row r="216" spans="1:13 16257:16328" ht="15" x14ac:dyDescent="0.2">
      <c r="A216" s="17">
        <f t="shared" si="31"/>
        <v>2022</v>
      </c>
      <c r="B216" s="120" t="s">
        <v>30</v>
      </c>
      <c r="C216" s="98">
        <f>145.9*1.0101</f>
        <v>147.37359000000001</v>
      </c>
      <c r="D216" s="147">
        <v>549.1</v>
      </c>
      <c r="E216" s="145">
        <f>131/99.8*112.7</f>
        <v>147.93286573146295</v>
      </c>
      <c r="F216" s="130">
        <f>+F$173*(116.1/103.6)</f>
        <v>117.69962034707922</v>
      </c>
      <c r="G216" s="100">
        <v>1.84</v>
      </c>
      <c r="H216" s="53">
        <f t="shared" si="35"/>
        <v>170.26115480690299</v>
      </c>
      <c r="XCS216" s="17"/>
      <c r="XCT216" s="212"/>
      <c r="XCU216" s="98"/>
      <c r="XCV216" s="147"/>
      <c r="XCW216" s="145"/>
      <c r="XCX216" s="130"/>
      <c r="XCY216" s="100"/>
      <c r="XCZ216" s="53"/>
    </row>
    <row r="217" spans="1:13 16257:16328" ht="15" x14ac:dyDescent="0.2">
      <c r="A217" s="10">
        <f t="shared" si="31"/>
        <v>2022</v>
      </c>
      <c r="B217" s="120" t="s">
        <v>14</v>
      </c>
      <c r="C217" s="98">
        <f t="shared" ref="C217:C218" si="36">145.9*1.0101</f>
        <v>147.37359000000001</v>
      </c>
      <c r="D217" s="247">
        <v>507.71667409934071</v>
      </c>
      <c r="E217" s="145">
        <f>131/99.8*113.6</f>
        <v>149.11422845691382</v>
      </c>
      <c r="F217" s="130">
        <f>+F$173*(116.6/103.6)</f>
        <v>118.20650932359551</v>
      </c>
      <c r="G217" s="100">
        <v>2.0699999999999998</v>
      </c>
      <c r="H217" s="53">
        <f t="shared" si="35"/>
        <v>165.75268505629813</v>
      </c>
      <c r="XCS217" s="10"/>
      <c r="XCU217" s="98"/>
      <c r="XCV217" s="247"/>
      <c r="XCW217" s="145"/>
      <c r="XCX217" s="130"/>
      <c r="XCY217" s="100"/>
      <c r="XCZ217" s="53"/>
    </row>
    <row r="218" spans="1:13 16257:16328" ht="15" x14ac:dyDescent="0.2">
      <c r="A218" s="12">
        <f t="shared" si="31"/>
        <v>2022</v>
      </c>
      <c r="B218" s="13" t="s">
        <v>15</v>
      </c>
      <c r="C218" s="101">
        <f t="shared" si="36"/>
        <v>147.37359000000001</v>
      </c>
      <c r="D218" s="246">
        <v>485.68783664417344</v>
      </c>
      <c r="E218" s="135">
        <f>131/99.8*114.9</f>
        <v>150.82064128256513</v>
      </c>
      <c r="F218" s="132">
        <f>+F$173*(117.7/103.6)</f>
        <v>119.32166507193132</v>
      </c>
      <c r="G218" s="102">
        <v>1.9</v>
      </c>
      <c r="H218" s="114">
        <f t="shared" si="35"/>
        <v>163.1379225259106</v>
      </c>
    </row>
    <row r="219" spans="1:13 16257:16328" ht="15" x14ac:dyDescent="0.2">
      <c r="A219" s="10">
        <f t="shared" si="31"/>
        <v>2022</v>
      </c>
      <c r="B219" t="s">
        <v>16</v>
      </c>
      <c r="C219" s="98">
        <f>147.2*1.0101</f>
        <v>148.68671999999998</v>
      </c>
      <c r="D219" s="247">
        <v>429.1</v>
      </c>
      <c r="E219" s="145">
        <f>131/99.8*114.9</f>
        <v>150.82064128256513</v>
      </c>
      <c r="F219" s="130">
        <f>+F$173*(118.4/103.6)</f>
        <v>120.03130963905411</v>
      </c>
      <c r="G219" s="100">
        <v>2.52</v>
      </c>
      <c r="H219" s="53">
        <f t="shared" si="35"/>
        <v>157.97241120860511</v>
      </c>
    </row>
    <row r="220" spans="1:13 16257:16328" ht="15" x14ac:dyDescent="0.2">
      <c r="A220" s="10">
        <f t="shared" si="31"/>
        <v>2022</v>
      </c>
      <c r="B220" t="s">
        <v>17</v>
      </c>
      <c r="C220" s="98">
        <f>147.2*1.0101</f>
        <v>148.68671999999998</v>
      </c>
      <c r="D220" s="147">
        <v>364.5</v>
      </c>
      <c r="E220" s="145">
        <f>131/99.8*116.4</f>
        <v>152.78957915831666</v>
      </c>
      <c r="F220" s="130">
        <f>+F$173*(118.5/103.6)</f>
        <v>120.13268743435736</v>
      </c>
      <c r="G220" s="100">
        <v>3.22</v>
      </c>
      <c r="H220" s="53">
        <f t="shared" si="35"/>
        <v>151.30821131226534</v>
      </c>
    </row>
    <row r="221" spans="1:13 16257:16328" ht="15.75" thickBot="1" x14ac:dyDescent="0.25">
      <c r="A221" s="29">
        <f t="shared" si="31"/>
        <v>2022</v>
      </c>
      <c r="B221" s="30" t="s">
        <v>18</v>
      </c>
      <c r="C221" s="103">
        <f>147.2*1.0101</f>
        <v>148.68671999999998</v>
      </c>
      <c r="D221" s="272">
        <v>371.9</v>
      </c>
      <c r="E221" s="146">
        <f>131/99.8*117.6</f>
        <v>154.36472945891785</v>
      </c>
      <c r="F221" s="131">
        <f>+F$173*(120.6/103.6)</f>
        <v>122.2616211357257</v>
      </c>
      <c r="G221" s="104">
        <v>3.06</v>
      </c>
      <c r="H221" s="88">
        <f t="shared" ref="H221" si="37">100+((C221-$C$40)/$C$40*100*$C$2)+((D221-$D$40)/$D$40*100*$D$2)+((E221-$E$40)/$E$40*100*$E$2)+((F221-$F$40)/$F$40*100*$F$2)+((G221-$G$40)/$G$40*100*$G$2)</f>
        <v>152.29433365277629</v>
      </c>
      <c r="XAG221" s="29"/>
      <c r="XAH221" s="30"/>
      <c r="XAI221" s="103"/>
      <c r="XAJ221" s="272"/>
      <c r="XAK221" s="146"/>
      <c r="XAL221" s="131"/>
      <c r="XAM221" s="104"/>
      <c r="XAN221" s="88"/>
      <c r="XCS221" s="29"/>
      <c r="XCT221" s="30"/>
      <c r="XCU221" s="103"/>
      <c r="XCV221" s="272"/>
      <c r="XCW221" s="146"/>
      <c r="XCX221" s="131"/>
      <c r="XCY221" s="104"/>
      <c r="XCZ221" s="88"/>
    </row>
    <row r="222" spans="1:13 16257:16328" ht="15" x14ac:dyDescent="0.2">
      <c r="A222" s="2">
        <v>2023</v>
      </c>
      <c r="B222" s="120" t="s">
        <v>8</v>
      </c>
      <c r="C222" s="98">
        <f>148.2*1.0101</f>
        <v>149.69681999999997</v>
      </c>
      <c r="D222" s="147">
        <v>349.8</v>
      </c>
      <c r="E222" s="145">
        <f>131/99.8*116.6</f>
        <v>153.05210420841684</v>
      </c>
      <c r="F222" s="130">
        <f>+F$173*(120.9/103.6)</f>
        <v>122.56575452163548</v>
      </c>
      <c r="G222" s="100">
        <v>2.86</v>
      </c>
      <c r="H222" s="53">
        <f t="shared" ref="H222" si="38">100+((C222-$C$40)/$C$40*100*$C$2)+((D222-$D$40)/$D$40*100*$D$2)+((E222-$E$40)/$E$40*100*$E$2)+((F222-$F$40)/$F$40*100*$F$2)+((G222-$G$40)/$G$40*100*$G$2)</f>
        <v>149.90714697709274</v>
      </c>
      <c r="XCS222" s="2"/>
      <c r="XCT222" s="120"/>
      <c r="XCU222" s="98"/>
      <c r="XCV222" s="147"/>
      <c r="XCW222" s="145"/>
      <c r="XCX222" s="130"/>
      <c r="XCY222" s="100"/>
      <c r="XCZ222" s="53"/>
    </row>
    <row r="223" spans="1:13 16257:16328" ht="15" x14ac:dyDescent="0.2">
      <c r="A223" s="10">
        <v>2022</v>
      </c>
      <c r="B223" s="120" t="s">
        <v>9</v>
      </c>
      <c r="C223" s="98">
        <f t="shared" ref="C223:C224" si="39">148.2*1.0101</f>
        <v>149.69681999999997</v>
      </c>
      <c r="D223" s="247">
        <v>304.89999999999998</v>
      </c>
      <c r="E223" s="145">
        <f>131/99.8*115.9</f>
        <v>152.13326653306615</v>
      </c>
      <c r="F223" s="130">
        <f>+F$173*(121/103.6)</f>
        <v>122.66713231693873</v>
      </c>
      <c r="G223" s="100">
        <v>3.33</v>
      </c>
      <c r="H223" s="53">
        <f t="shared" ref="H223" si="40">100+((C223-$C$40)/$C$40*100*$C$2)+((D223-$D$40)/$D$40*100*$D$2)+((E223-$E$40)/$E$40*100*$E$2)+((F223-$F$40)/$F$40*100*$F$2)+((G223-$G$40)/$G$40*100*$G$2)</f>
        <v>145.09885791409982</v>
      </c>
      <c r="L223" s="120"/>
      <c r="XCS223" s="10"/>
      <c r="XCT223" s="120"/>
      <c r="XCU223" s="98"/>
      <c r="XCV223" s="247"/>
      <c r="XCW223" s="145"/>
      <c r="XCX223" s="130"/>
      <c r="XCY223" s="100"/>
      <c r="XCZ223" s="53"/>
    </row>
    <row r="224" spans="1:13 16257:16328" ht="15" x14ac:dyDescent="0.2">
      <c r="A224" s="12">
        <v>2022</v>
      </c>
      <c r="B224" s="13" t="s">
        <v>10</v>
      </c>
      <c r="C224" s="101">
        <f t="shared" si="39"/>
        <v>149.69681999999997</v>
      </c>
      <c r="D224" s="246">
        <v>291.5</v>
      </c>
      <c r="E224" s="135">
        <f>131/99.8*116.4</f>
        <v>152.78957915831666</v>
      </c>
      <c r="F224" s="132">
        <f>+F$173*(122.7/103.6)</f>
        <v>124.39055483709409</v>
      </c>
      <c r="G224" s="102">
        <v>3.26</v>
      </c>
      <c r="H224" s="114">
        <f t="shared" ref="H224" si="41">100+((C224-$C$40)/$C$40*100*$C$2)+((D224-$D$40)/$D$40*100*$D$2)+((E224-$E$40)/$E$40*100*$E$2)+((F224-$F$40)/$F$40*100*$F$2)+((G224-$G$40)/$G$40*100*$G$2)</f>
        <v>143.62076888888373</v>
      </c>
    </row>
    <row r="225" spans="1:13 16257:16328" ht="15" x14ac:dyDescent="0.2">
      <c r="A225" s="10">
        <v>2022</v>
      </c>
      <c r="B225" t="s">
        <v>11</v>
      </c>
      <c r="C225" s="98">
        <f>149.4*1.0101</f>
        <v>150.90894</v>
      </c>
      <c r="D225" s="247">
        <v>287.2</v>
      </c>
      <c r="E225" s="145">
        <f>131/99.8*117.5</f>
        <v>154.23346693386776</v>
      </c>
      <c r="F225" s="130">
        <f>+F$173*(122.3/103.6)</f>
        <v>123.98504365588106</v>
      </c>
      <c r="G225" s="100">
        <v>3.58</v>
      </c>
      <c r="H225" s="53">
        <f t="shared" ref="H225:H226" si="42">100+((C225-$C$40)/$C$40*100*$C$2)+((D225-$D$40)/$D$40*100*$D$2)+((E225-$E$40)/$E$40*100*$E$2)+((F225-$F$40)/$F$40*100*$F$2)+((G225-$G$40)/$G$40*100*$G$2)</f>
        <v>144.2434829508374</v>
      </c>
      <c r="XCS225" s="10"/>
      <c r="XCU225" s="98"/>
      <c r="XCV225" s="247"/>
      <c r="XCW225" s="145"/>
      <c r="XCX225" s="130"/>
      <c r="XCY225" s="100"/>
      <c r="XCZ225" s="53"/>
    </row>
    <row r="226" spans="1:13 16257:16328" ht="15" x14ac:dyDescent="0.2">
      <c r="A226" s="10">
        <v>2022</v>
      </c>
      <c r="B226" t="s">
        <v>12</v>
      </c>
      <c r="C226" s="98">
        <f t="shared" ref="C226:C227" si="43">149.4*1.0101</f>
        <v>150.90894</v>
      </c>
      <c r="D226" s="147">
        <v>252.4</v>
      </c>
      <c r="E226" s="145">
        <f>131/99.8*117.3</f>
        <v>153.97094188376755</v>
      </c>
      <c r="F226" s="130">
        <f>+F$173*(122.9/103.6)</f>
        <v>124.59331042770057</v>
      </c>
      <c r="G226" s="100">
        <v>3.32</v>
      </c>
      <c r="H226" s="53">
        <f t="shared" si="42"/>
        <v>139.81177723004694</v>
      </c>
    </row>
    <row r="227" spans="1:13 16257:16328" ht="15.75" thickBot="1" x14ac:dyDescent="0.25">
      <c r="A227" s="29">
        <v>2022</v>
      </c>
      <c r="B227" s="30" t="s">
        <v>13</v>
      </c>
      <c r="C227" s="103">
        <f t="shared" si="43"/>
        <v>150.90894</v>
      </c>
      <c r="D227" s="272">
        <v>240.6</v>
      </c>
      <c r="E227" s="146">
        <f>131/99.8*117.6</f>
        <v>154.36472945891785</v>
      </c>
      <c r="F227" s="131">
        <f>+F$173*(123/103.6)</f>
        <v>124.69468822300382</v>
      </c>
      <c r="G227" s="104">
        <v>3.35</v>
      </c>
      <c r="H227" s="88">
        <f t="shared" ref="H227" si="44">100+((C227-$C$40)/$C$40*100*$C$2)+((D227-$D$40)/$D$40*100*$D$2)+((E227-$E$40)/$E$40*100*$E$2)+((F227-$F$40)/$F$40*100*$F$2)+((G227-$G$40)/$G$40*100*$G$2)</f>
        <v>138.4814230043018</v>
      </c>
      <c r="XAG227" s="29"/>
      <c r="XAH227" s="30"/>
      <c r="XAI227" s="103"/>
      <c r="XAJ227" s="272"/>
      <c r="XAK227" s="146"/>
      <c r="XAL227" s="131"/>
      <c r="XAM227" s="104"/>
      <c r="XAN227" s="88"/>
      <c r="XCS227" s="29"/>
      <c r="XCT227" s="30"/>
      <c r="XCU227" s="103"/>
      <c r="XCV227" s="272"/>
      <c r="XCW227" s="146"/>
      <c r="XCX227" s="131"/>
      <c r="XCY227" s="104"/>
      <c r="XCZ227" s="88"/>
    </row>
    <row r="228" spans="1:13 16257:16328" ht="15" x14ac:dyDescent="0.2">
      <c r="A228" s="17">
        <v>2022</v>
      </c>
      <c r="B228" s="212" t="s">
        <v>30</v>
      </c>
      <c r="C228" s="98">
        <f>150.8*1.0101</f>
        <v>152.32308</v>
      </c>
      <c r="D228" s="147">
        <v>217.7</v>
      </c>
      <c r="E228" s="145">
        <f>131/99.8*116</f>
        <v>152.26452905811624</v>
      </c>
      <c r="F228" s="130">
        <f>+F$173*(122.7/103.6)</f>
        <v>124.39055483709409</v>
      </c>
      <c r="G228" s="100">
        <v>3.45</v>
      </c>
      <c r="H228" s="53">
        <f t="shared" ref="H228" si="45">100+((C228-$C$40)/$C$40*100*$C$2)+((D228-$D$40)/$D$40*100*$D$2)+((E228-$E$40)/$E$40*100*$E$2)+((F228-$F$40)/$F$40*100*$F$2)+((G228-$G$40)/$G$40*100*$G$2)</f>
        <v>136.48865358304451</v>
      </c>
      <c r="I228" s="139"/>
    </row>
    <row r="229" spans="1:13 16257:16328" ht="15" x14ac:dyDescent="0.2">
      <c r="A229" s="10">
        <v>2022</v>
      </c>
      <c r="B229" t="s">
        <v>14</v>
      </c>
      <c r="C229" s="98">
        <f t="shared" ref="C229:C230" si="46">150.8*1.0101</f>
        <v>152.32308</v>
      </c>
      <c r="D229" s="247">
        <v>235</v>
      </c>
      <c r="E229" s="145">
        <f>131/99.8*116.4</f>
        <v>152.78957915831666</v>
      </c>
      <c r="F229" s="130">
        <f>+F$173*(123.3/103.6)</f>
        <v>124.9988216089136</v>
      </c>
      <c r="G229" s="100">
        <v>3.69</v>
      </c>
      <c r="H229" s="53">
        <f t="shared" ref="H229" si="47">100+((C229-$C$40)/$C$40*100*$C$2)+((D229-$D$40)/$D$40*100*$D$2)+((E229-$E$40)/$E$40*100*$E$2)+((F229-$F$40)/$F$40*100*$F$2)+((G229-$G$40)/$G$40*100*$G$2)</f>
        <v>138.94281029200616</v>
      </c>
    </row>
    <row r="230" spans="1:13 16257:16328" ht="15" x14ac:dyDescent="0.2">
      <c r="A230" s="12">
        <v>2022</v>
      </c>
      <c r="B230" s="13" t="s">
        <v>15</v>
      </c>
      <c r="C230" s="101">
        <f t="shared" si="46"/>
        <v>152.32308</v>
      </c>
      <c r="D230" s="246">
        <v>261.39999999999998</v>
      </c>
      <c r="E230" s="135">
        <f>131/99.8*118.5</f>
        <v>155.54609218436875</v>
      </c>
      <c r="F230" s="132">
        <f>+F$173*(124.6/103.6)</f>
        <v>126.31673294785591</v>
      </c>
      <c r="G230" s="102">
        <v>3.67</v>
      </c>
      <c r="H230" s="114">
        <f t="shared" ref="H230" si="48">100+((C230-$C$40)/$C$40*100*$C$2)+((D230-$D$40)/$D$40*100*$D$2)+((E230-$E$40)/$E$40*100*$E$2)+((F230-$F$40)/$F$40*100*$F$2)+((G230-$G$40)/$G$40*100*$G$2)</f>
        <v>142.37359201235748</v>
      </c>
    </row>
    <row r="231" spans="1:13 16257:16328" ht="15" x14ac:dyDescent="0.2">
      <c r="A231" s="10">
        <v>2022</v>
      </c>
      <c r="B231" t="s">
        <v>16</v>
      </c>
      <c r="C231" s="98">
        <f>151.6*1.0101</f>
        <v>153.13115999999999</v>
      </c>
      <c r="D231" s="247">
        <v>251.3</v>
      </c>
      <c r="E231" s="145">
        <f>131/99.8*117.7</f>
        <v>154.49599198396794</v>
      </c>
      <c r="F231" s="130">
        <f>+F$173*(124.3/103.6)</f>
        <v>126.01259956194616</v>
      </c>
      <c r="G231" s="100">
        <v>3.67</v>
      </c>
      <c r="H231" s="53">
        <f t="shared" ref="H231" si="49">100+((C231-$C$40)/$C$40*100*$C$2)+((D231-$D$40)/$D$40*100*$D$2)+((E231-$E$40)/$E$40*100*$E$2)+((F231-$F$40)/$F$40*100*$F$2)+((G231-$G$40)/$G$40*100*$G$2)</f>
        <v>141.51674038539699</v>
      </c>
    </row>
    <row r="232" spans="1:13 16257:16328" ht="15" x14ac:dyDescent="0.2">
      <c r="A232" s="10">
        <v>2022</v>
      </c>
      <c r="B232" t="s">
        <v>17</v>
      </c>
      <c r="C232" s="98">
        <f t="shared" ref="C232:C233" si="50">151.6*1.0101</f>
        <v>153.13115999999999</v>
      </c>
      <c r="D232" s="147">
        <v>254.9</v>
      </c>
      <c r="E232" s="145">
        <f>131/99.8*117.4</f>
        <v>154.10220440881764</v>
      </c>
      <c r="F232" s="130">
        <f>+F$173*(124/103.6)</f>
        <v>125.70846617603638</v>
      </c>
      <c r="G232" s="100">
        <v>3.81</v>
      </c>
      <c r="H232" s="53">
        <f t="shared" ref="H232" si="51">100+((C232-$C$40)/$C$40*100*$C$2)+((D232-$D$40)/$D$40*100*$D$2)+((E232-$E$40)/$E$40*100*$E$2)+((F232-$F$40)/$F$40*100*$F$2)+((G232-$G$40)/$G$40*100*$G$2)</f>
        <v>142.06594761277992</v>
      </c>
    </row>
    <row r="233" spans="1:13 16257:16328" ht="15.75" thickBot="1" x14ac:dyDescent="0.25">
      <c r="A233" s="29">
        <v>2022</v>
      </c>
      <c r="B233" s="30" t="s">
        <v>18</v>
      </c>
      <c r="C233" s="103">
        <f t="shared" si="50"/>
        <v>153.13115999999999</v>
      </c>
      <c r="D233" s="272">
        <v>276.60000000000002</v>
      </c>
      <c r="E233" s="146">
        <f>131/99.8*117.7</f>
        <v>154.49599198396794</v>
      </c>
      <c r="F233" s="131">
        <f>+F$173*(123.9/103.6)</f>
        <v>125.60708838073315</v>
      </c>
      <c r="G233" s="104">
        <v>3.78</v>
      </c>
      <c r="H233" s="88">
        <f t="shared" ref="H233" si="52">100+((C233-$C$40)/$C$40*100*$C$2)+((D233-$D$40)/$D$40*100*$D$2)+((E233-$E$40)/$E$40*100*$E$2)+((F233-$F$40)/$F$40*100*$F$2)+((G233-$G$40)/$G$40*100*$G$2)</f>
        <v>144.62942392685758</v>
      </c>
    </row>
    <row r="234" spans="1:13 16257:16328" ht="15" x14ac:dyDescent="0.2">
      <c r="A234" s="2">
        <v>2024</v>
      </c>
      <c r="B234" s="120" t="s">
        <v>8</v>
      </c>
      <c r="C234" s="98">
        <f>153.5*1.0101</f>
        <v>155.05035000000001</v>
      </c>
      <c r="D234" s="147">
        <v>255.9</v>
      </c>
      <c r="E234" s="145">
        <f>131/99.8*117.3</f>
        <v>153.97094188376755</v>
      </c>
      <c r="F234" s="130">
        <f>+F$173*(123.5/103.6)</f>
        <v>125.20157719952012</v>
      </c>
      <c r="G234" s="100">
        <v>3.51</v>
      </c>
      <c r="H234" s="53">
        <f t="shared" ref="H234" si="53">100+((C234-$C$40)/$C$40*100*$C$2)+((D234-$D$40)/$D$40*100*$D$2)+((E234-$E$40)/$E$40*100*$E$2)+((F234-$F$40)/$F$40*100*$F$2)+((G234-$G$40)/$G$40*100*$G$2)</f>
        <v>142.81188843108748</v>
      </c>
      <c r="M234" s="292"/>
    </row>
    <row r="235" spans="1:13 16257:16328" ht="15" x14ac:dyDescent="0.2">
      <c r="A235" s="10">
        <v>2022</v>
      </c>
      <c r="B235" s="120" t="s">
        <v>9</v>
      </c>
      <c r="C235" s="98">
        <f t="shared" ref="C235:C236" si="54">153.5*1.0101</f>
        <v>155.05035000000001</v>
      </c>
      <c r="D235" s="247">
        <v>240.3</v>
      </c>
      <c r="E235" s="145">
        <f>131/99.8*116.7</f>
        <v>153.18336673346695</v>
      </c>
      <c r="F235" s="130">
        <f>+F$173*(123.3/103.6)</f>
        <v>124.9988216089136</v>
      </c>
      <c r="G235" s="100">
        <v>3.18</v>
      </c>
      <c r="H235" s="53">
        <f t="shared" ref="H235" si="55">100+((C235-$C$40)/$C$40*100*$C$2)+((D235-$D$40)/$D$40*100*$D$2)+((E235-$E$40)/$E$40*100*$E$2)+((F235-$F$40)/$F$40*100*$F$2)+((G235-$G$40)/$G$40*100*$G$2)</f>
        <v>140.4663075744017</v>
      </c>
      <c r="M235" s="292"/>
    </row>
    <row r="236" spans="1:13 16257:16328" ht="15" x14ac:dyDescent="0.2">
      <c r="A236" s="12">
        <v>2022</v>
      </c>
      <c r="B236" s="13" t="s">
        <v>10</v>
      </c>
      <c r="C236" s="101">
        <f t="shared" si="54"/>
        <v>155.05035000000001</v>
      </c>
      <c r="D236" s="246">
        <v>229</v>
      </c>
      <c r="E236" s="135">
        <f>131/99.8*117.8</f>
        <v>154.62725450901803</v>
      </c>
      <c r="F236" s="132">
        <f>+F$173*(122.3/103.6)</f>
        <v>123.98504365588106</v>
      </c>
      <c r="G236" s="102">
        <v>3.23</v>
      </c>
      <c r="H236" s="114">
        <f t="shared" ref="H236" si="56">100+((C236-$C$40)/$C$40*100*$C$2)+((D236-$D$40)/$D$40*100*$D$2)+((E236-$E$40)/$E$40*100*$E$2)+((F236-$F$40)/$F$40*100*$F$2)+((G236-$G$40)/$G$40*100*$G$2)</f>
        <v>139.1900071030239</v>
      </c>
      <c r="M236" s="292"/>
    </row>
    <row r="237" spans="1:13 16257:16328" ht="15" x14ac:dyDescent="0.2">
      <c r="A237" s="17">
        <v>2022</v>
      </c>
      <c r="B237" s="18" t="s">
        <v>11</v>
      </c>
      <c r="C237" s="98">
        <f>154.8*1.0101</f>
        <v>156.36348000000001</v>
      </c>
      <c r="D237" s="247">
        <v>230.9</v>
      </c>
      <c r="E237" s="145">
        <f>131/99.8*118.4</f>
        <v>155.41482965931866</v>
      </c>
      <c r="F237" s="130">
        <f>+F$173*(122.6/103.6)</f>
        <v>124.28917704179081</v>
      </c>
      <c r="G237" s="100">
        <v>3.38</v>
      </c>
      <c r="H237" s="53">
        <f t="shared" ref="H237" si="57">100+((C237-$C$40)/$C$40*100*$C$2)+((D237-$D$40)/$D$40*100*$D$2)+((E237-$E$40)/$E$40*100*$E$2)+((F237-$F$40)/$F$40*100*$F$2)+((G237-$G$40)/$G$40*100*$G$2)</f>
        <v>140.41310317234257</v>
      </c>
      <c r="M237" s="292"/>
    </row>
    <row r="238" spans="1:13 16257:16328" ht="15" x14ac:dyDescent="0.2">
      <c r="A238" s="10">
        <v>2022</v>
      </c>
      <c r="B238" t="s">
        <v>12</v>
      </c>
      <c r="C238" s="98">
        <f t="shared" ref="C238:C239" si="58">154.8*1.0101</f>
        <v>156.36348000000001</v>
      </c>
      <c r="D238" s="147">
        <v>245.7</v>
      </c>
      <c r="E238" s="145">
        <f>131/99.8*118.4</f>
        <v>155.41482965931866</v>
      </c>
      <c r="F238" s="130">
        <f>+F$173*(122.2/103.6)</f>
        <v>123.88366586057781</v>
      </c>
      <c r="G238" s="100">
        <v>3.39</v>
      </c>
      <c r="H238" s="53">
        <f t="shared" ref="H238" si="59">100+((C238-$C$40)/$C$40*100*$C$2)+((D238-$D$40)/$D$40*100*$D$2)+((E238-$E$40)/$E$40*100*$E$2)+((F238-$F$40)/$F$40*100*$F$2)+((G238-$G$40)/$G$40*100*$G$2)</f>
        <v>142.15000055028113</v>
      </c>
      <c r="M238" s="292"/>
    </row>
    <row r="239" spans="1:13 16257:16328" ht="15.75" thickBot="1" x14ac:dyDescent="0.25">
      <c r="A239" s="12">
        <v>2022</v>
      </c>
      <c r="B239" s="13" t="s">
        <v>13</v>
      </c>
      <c r="C239" s="103">
        <f t="shared" si="58"/>
        <v>156.36348000000001</v>
      </c>
      <c r="D239" s="107">
        <f t="shared" ref="D238:D257" si="60">D238</f>
        <v>245.7</v>
      </c>
      <c r="E239" s="107">
        <f t="shared" ref="E238:E245" si="61">E238*(1+(((SUM(E$222:E$233)-SUM(E$210:E$221))/SUM(E$210:E$221))/12))</f>
        <v>156.01575465421547</v>
      </c>
      <c r="F239" s="107">
        <f t="shared" ref="F238:F245" si="62">F238*(1+(((SUM(F$222:F$233)-SUM(F$210:F$221))/SUM(F$210:F$221))/12))</f>
        <v>124.56375532932989</v>
      </c>
      <c r="G239" s="70">
        <f t="shared" si="25"/>
        <v>3.39</v>
      </c>
      <c r="H239" s="256">
        <f t="shared" ref="H238:H246" si="63">100+((C239-$C$40)/$C$40*100*$C$2)+((D239-$D$40)/$D$40*100*$D$2)+((E239-$E$40)/$E$40*100*$E$2)+((F239-$F$40)/$F$40*100*$F$2)+((G239-$G$40)/$G$40*100*$G$2)</f>
        <v>142.25465915981061</v>
      </c>
      <c r="M239" s="292"/>
    </row>
    <row r="240" spans="1:13 16257:16328" ht="15" x14ac:dyDescent="0.2">
      <c r="A240" s="17">
        <v>2022</v>
      </c>
      <c r="B240" s="212" t="s">
        <v>30</v>
      </c>
      <c r="C240" s="106">
        <f t="shared" ref="C240:C245" si="64">C237*(1+(((SUM(C$222:C$233)-SUM(C$210:C$221))/SUM(C$210:C$221))/4))</f>
        <v>157.48955444444448</v>
      </c>
      <c r="D240" s="106">
        <f t="shared" si="60"/>
        <v>245.7</v>
      </c>
      <c r="E240" s="106">
        <f t="shared" si="61"/>
        <v>156.61900317802059</v>
      </c>
      <c r="F240" s="106">
        <f t="shared" si="62"/>
        <v>125.24757831437967</v>
      </c>
      <c r="G240" s="69">
        <f t="shared" ref="G240:G257" si="65">+G239</f>
        <v>3.39</v>
      </c>
      <c r="H240" s="255">
        <f t="shared" si="63"/>
        <v>142.98196533542256</v>
      </c>
      <c r="M240" s="292"/>
    </row>
    <row r="241" spans="1:13" ht="15" x14ac:dyDescent="0.2">
      <c r="A241" s="10">
        <v>2022</v>
      </c>
      <c r="B241" t="s">
        <v>14</v>
      </c>
      <c r="C241" s="106">
        <f t="shared" si="64"/>
        <v>157.48955444444448</v>
      </c>
      <c r="D241" s="106">
        <f t="shared" si="60"/>
        <v>245.7</v>
      </c>
      <c r="E241" s="106">
        <f t="shared" si="61"/>
        <v>157.22458421486118</v>
      </c>
      <c r="F241" s="106">
        <f t="shared" si="62"/>
        <v>125.93515531177152</v>
      </c>
      <c r="G241" s="69">
        <f t="shared" si="65"/>
        <v>3.39</v>
      </c>
      <c r="H241" s="255">
        <f t="shared" si="63"/>
        <v>143.08764044504815</v>
      </c>
      <c r="M241" s="292"/>
    </row>
    <row r="242" spans="1:13" ht="15" x14ac:dyDescent="0.2">
      <c r="A242" s="12">
        <v>2022</v>
      </c>
      <c r="B242" s="13" t="s">
        <v>15</v>
      </c>
      <c r="C242" s="107">
        <f t="shared" si="64"/>
        <v>157.48955444444448</v>
      </c>
      <c r="D242" s="107">
        <f t="shared" si="60"/>
        <v>245.7</v>
      </c>
      <c r="E242" s="107">
        <f t="shared" si="61"/>
        <v>157.83250678360238</v>
      </c>
      <c r="F242" s="107">
        <f t="shared" si="62"/>
        <v>126.62650693006788</v>
      </c>
      <c r="G242" s="70">
        <f t="shared" si="65"/>
        <v>3.39</v>
      </c>
      <c r="H242" s="256">
        <f t="shared" si="63"/>
        <v>143.19382760057732</v>
      </c>
      <c r="M242" s="292"/>
    </row>
    <row r="243" spans="1:13" ht="15" x14ac:dyDescent="0.2">
      <c r="A243" s="10">
        <v>2022</v>
      </c>
      <c r="B243" t="s">
        <v>16</v>
      </c>
      <c r="C243" s="106">
        <f t="shared" si="64"/>
        <v>158.62373847850944</v>
      </c>
      <c r="D243" s="106">
        <f t="shared" si="60"/>
        <v>245.7</v>
      </c>
      <c r="E243" s="106">
        <f t="shared" si="61"/>
        <v>158.4427799379815</v>
      </c>
      <c r="F243" s="106">
        <f t="shared" si="62"/>
        <v>127.32165389096683</v>
      </c>
      <c r="G243" s="69">
        <f t="shared" si="65"/>
        <v>3.39</v>
      </c>
      <c r="H243" s="255">
        <f t="shared" si="63"/>
        <v>143.92715036305594</v>
      </c>
      <c r="M243" s="292"/>
    </row>
    <row r="244" spans="1:13" ht="15" x14ac:dyDescent="0.2">
      <c r="A244" s="10">
        <v>2022</v>
      </c>
      <c r="B244" t="s">
        <v>17</v>
      </c>
      <c r="C244" s="106">
        <f t="shared" si="64"/>
        <v>158.62373847850944</v>
      </c>
      <c r="D244" s="106">
        <f t="shared" si="60"/>
        <v>245.7</v>
      </c>
      <c r="E244" s="106">
        <f t="shared" si="61"/>
        <v>159.05541276674296</v>
      </c>
      <c r="F244" s="106">
        <f t="shared" si="62"/>
        <v>128.0206170299233</v>
      </c>
      <c r="G244" s="69">
        <f t="shared" si="65"/>
        <v>3.39</v>
      </c>
      <c r="H244" s="255">
        <f t="shared" si="63"/>
        <v>144.03436926661209</v>
      </c>
      <c r="M244" s="292"/>
    </row>
    <row r="245" spans="1:13" ht="15.75" thickBot="1" x14ac:dyDescent="0.25">
      <c r="A245" s="29">
        <v>2022</v>
      </c>
      <c r="B245" s="30" t="s">
        <v>18</v>
      </c>
      <c r="C245" s="289">
        <f t="shared" si="64"/>
        <v>158.62373847850944</v>
      </c>
      <c r="D245" s="289">
        <f t="shared" si="60"/>
        <v>245.7</v>
      </c>
      <c r="E245" s="289">
        <f t="shared" si="61"/>
        <v>159.67041439377357</v>
      </c>
      <c r="F245" s="289">
        <f t="shared" si="62"/>
        <v>128.7234172967735</v>
      </c>
      <c r="G245" s="290">
        <f t="shared" si="65"/>
        <v>3.39</v>
      </c>
      <c r="H245" s="291">
        <f t="shared" si="63"/>
        <v>144.1421078982961</v>
      </c>
      <c r="M245" s="292"/>
    </row>
    <row r="246" spans="1:13" ht="15" x14ac:dyDescent="0.2">
      <c r="A246" s="2">
        <v>2025</v>
      </c>
      <c r="B246" s="120" t="s">
        <v>8</v>
      </c>
      <c r="C246" s="106">
        <f>C243*(1+(((SUM(C$234:C$245)-SUM(C$222:C$233))/SUM(C$222:C$233))/4))</f>
        <v>160.02838294127579</v>
      </c>
      <c r="D246" s="106">
        <f t="shared" si="60"/>
        <v>245.7</v>
      </c>
      <c r="E246" s="106">
        <f>E245*(1+(((SUM(E$234:E$245)-SUM(E$222:E$233))/SUM(E$222:E$233))/12))</f>
        <v>159.91018630634983</v>
      </c>
      <c r="F246" s="106">
        <f>F245*(1+(((SUM(F$234:F$245)-SUM(F$222:F$233))/SUM(F$222:F$233))/12))</f>
        <v>128.81567780989675</v>
      </c>
      <c r="G246" s="69">
        <f t="shared" si="65"/>
        <v>3.39</v>
      </c>
      <c r="H246" s="255">
        <f t="shared" si="63"/>
        <v>144.94331357904781</v>
      </c>
      <c r="M246" s="292"/>
    </row>
    <row r="247" spans="1:13" ht="15" x14ac:dyDescent="0.2">
      <c r="A247" s="10">
        <v>2022</v>
      </c>
      <c r="B247" s="120" t="s">
        <v>9</v>
      </c>
      <c r="C247" s="106">
        <f t="shared" ref="C247:C257" si="66">C244*(1+(((SUM(C$234:C$245)-SUM(C$222:C$233))/SUM(C$222:C$233))/4))</f>
        <v>160.02838294127579</v>
      </c>
      <c r="D247" s="106">
        <f t="shared" si="60"/>
        <v>245.7</v>
      </c>
      <c r="E247" s="106">
        <f t="shared" ref="E247:E257" si="67">E246*(1+(((SUM(E$234:E$245)-SUM(E$222:E$233))/SUM(E$222:E$233))/12))</f>
        <v>160.15031827667553</v>
      </c>
      <c r="F247" s="106">
        <f t="shared" ref="F247:F257" si="68">F246*(1+(((SUM(F$234:F$245)-SUM(F$222:F$233))/SUM(F$222:F$233))/12))</f>
        <v>128.90800444931205</v>
      </c>
      <c r="G247" s="69">
        <f t="shared" si="65"/>
        <v>3.39</v>
      </c>
      <c r="H247" s="255">
        <f t="shared" ref="H247:H257" si="69">100+((C247-$C$40)/$C$40*100*$C$2)+((D247-$D$40)/$D$40*100*$D$2)+((E247-$E$40)/$E$40*100*$E$2)+((F247-$F$40)/$F$40*100*$F$2)+((G247-$G$40)/$G$40*100*$G$2)</f>
        <v>144.96850366346305</v>
      </c>
      <c r="M247" s="292"/>
    </row>
    <row r="248" spans="1:13" ht="15" x14ac:dyDescent="0.2">
      <c r="A248" s="12">
        <v>2022</v>
      </c>
      <c r="B248" s="13" t="s">
        <v>10</v>
      </c>
      <c r="C248" s="107">
        <f t="shared" si="66"/>
        <v>160.02838294127579</v>
      </c>
      <c r="D248" s="107">
        <f t="shared" si="60"/>
        <v>245.7</v>
      </c>
      <c r="E248" s="107">
        <f t="shared" si="67"/>
        <v>160.39081084543781</v>
      </c>
      <c r="F248" s="107">
        <f t="shared" si="68"/>
        <v>129.00039726241434</v>
      </c>
      <c r="G248" s="70">
        <f t="shared" si="65"/>
        <v>3.39</v>
      </c>
      <c r="H248" s="256">
        <f t="shared" si="69"/>
        <v>144.99372485789684</v>
      </c>
      <c r="M248" s="292"/>
    </row>
    <row r="249" spans="1:13" ht="15" x14ac:dyDescent="0.2">
      <c r="A249" s="17">
        <v>2022</v>
      </c>
      <c r="B249" s="18" t="s">
        <v>11</v>
      </c>
      <c r="C249" s="106">
        <f t="shared" si="66"/>
        <v>161.44546580756045</v>
      </c>
      <c r="D249" s="108">
        <f t="shared" si="60"/>
        <v>245.7</v>
      </c>
      <c r="E249" s="106">
        <f t="shared" si="67"/>
        <v>160.63166455413568</v>
      </c>
      <c r="F249" s="106">
        <f t="shared" si="68"/>
        <v>129.09285629663262</v>
      </c>
      <c r="G249" s="105">
        <f t="shared" si="65"/>
        <v>3.39</v>
      </c>
      <c r="H249" s="255">
        <f t="shared" si="69"/>
        <v>145.80189591490614</v>
      </c>
      <c r="M249" s="292"/>
    </row>
    <row r="250" spans="1:13" ht="15" x14ac:dyDescent="0.2">
      <c r="A250" s="10">
        <v>2022</v>
      </c>
      <c r="B250" t="s">
        <v>12</v>
      </c>
      <c r="C250" s="106">
        <f t="shared" si="66"/>
        <v>161.44546580756045</v>
      </c>
      <c r="D250" s="106">
        <f t="shared" si="60"/>
        <v>245.7</v>
      </c>
      <c r="E250" s="106">
        <f t="shared" si="67"/>
        <v>160.87287994508137</v>
      </c>
      <c r="F250" s="106">
        <f t="shared" si="68"/>
        <v>129.18538159942983</v>
      </c>
      <c r="G250" s="69">
        <f t="shared" si="65"/>
        <v>3.39</v>
      </c>
      <c r="H250" s="255">
        <f t="shared" si="69"/>
        <v>145.82717945514398</v>
      </c>
      <c r="M250" s="292"/>
    </row>
    <row r="251" spans="1:13" ht="15" x14ac:dyDescent="0.2">
      <c r="A251" s="12">
        <v>2022</v>
      </c>
      <c r="B251" s="13" t="s">
        <v>13</v>
      </c>
      <c r="C251" s="107">
        <f t="shared" si="66"/>
        <v>161.44546580756045</v>
      </c>
      <c r="D251" s="107">
        <f t="shared" si="60"/>
        <v>245.7</v>
      </c>
      <c r="E251" s="107">
        <f t="shared" si="67"/>
        <v>161.11445756140142</v>
      </c>
      <c r="F251" s="107">
        <f t="shared" si="68"/>
        <v>129.27797321830295</v>
      </c>
      <c r="G251" s="70">
        <f t="shared" si="65"/>
        <v>3.39</v>
      </c>
      <c r="H251" s="256">
        <f t="shared" si="69"/>
        <v>145.85249423128639</v>
      </c>
      <c r="M251" s="292"/>
    </row>
    <row r="252" spans="1:13" ht="15" x14ac:dyDescent="0.2">
      <c r="A252" s="17">
        <v>2022</v>
      </c>
      <c r="B252" s="212" t="s">
        <v>30</v>
      </c>
      <c r="C252" s="106">
        <f t="shared" si="66"/>
        <v>162.87509722187772</v>
      </c>
      <c r="D252" s="106">
        <f t="shared" si="60"/>
        <v>245.7</v>
      </c>
      <c r="E252" s="106">
        <f t="shared" si="67"/>
        <v>161.356397947038</v>
      </c>
      <c r="F252" s="106">
        <f t="shared" si="68"/>
        <v>129.37063120078298</v>
      </c>
      <c r="G252" s="69">
        <f t="shared" si="65"/>
        <v>3.39</v>
      </c>
      <c r="H252" s="255">
        <f t="shared" si="69"/>
        <v>146.6676918955346</v>
      </c>
      <c r="M252" s="292"/>
    </row>
    <row r="253" spans="1:13" ht="15" x14ac:dyDescent="0.2">
      <c r="A253" s="10">
        <v>2022</v>
      </c>
      <c r="B253" t="s">
        <v>14</v>
      </c>
      <c r="C253" s="106">
        <f t="shared" si="66"/>
        <v>162.87509722187772</v>
      </c>
      <c r="D253" s="106">
        <f t="shared" si="60"/>
        <v>245.7</v>
      </c>
      <c r="E253" s="106">
        <f t="shared" si="67"/>
        <v>161.5987016467501</v>
      </c>
      <c r="F253" s="106">
        <f t="shared" si="68"/>
        <v>129.46335559443503</v>
      </c>
      <c r="G253" s="69">
        <f t="shared" si="65"/>
        <v>3.39</v>
      </c>
      <c r="H253" s="255">
        <f t="shared" si="69"/>
        <v>146.69306926978953</v>
      </c>
      <c r="M253" s="292"/>
    </row>
    <row r="254" spans="1:13" ht="15" x14ac:dyDescent="0.2">
      <c r="A254" s="12">
        <v>2022</v>
      </c>
      <c r="B254" s="13" t="s">
        <v>15</v>
      </c>
      <c r="C254" s="107">
        <f t="shared" si="66"/>
        <v>162.87509722187772</v>
      </c>
      <c r="D254" s="107">
        <f t="shared" si="60"/>
        <v>245.7</v>
      </c>
      <c r="E254" s="107">
        <f t="shared" si="67"/>
        <v>161.84136920611476</v>
      </c>
      <c r="F254" s="107">
        <f t="shared" si="68"/>
        <v>129.55614644685829</v>
      </c>
      <c r="G254" s="70">
        <f t="shared" si="65"/>
        <v>3.39</v>
      </c>
      <c r="H254" s="256">
        <f t="shared" si="69"/>
        <v>146.71847800637192</v>
      </c>
      <c r="M254" s="292"/>
    </row>
    <row r="255" spans="1:13" ht="15" x14ac:dyDescent="0.2">
      <c r="A255" s="10">
        <v>2022</v>
      </c>
      <c r="B255" t="s">
        <v>16</v>
      </c>
      <c r="C255" s="106">
        <f t="shared" si="66"/>
        <v>164.31738830409324</v>
      </c>
      <c r="D255" s="106">
        <f t="shared" si="60"/>
        <v>245.7</v>
      </c>
      <c r="E255" s="106">
        <f t="shared" si="67"/>
        <v>162.08440117152827</v>
      </c>
      <c r="F255" s="106">
        <f t="shared" si="68"/>
        <v>129.64900380568602</v>
      </c>
      <c r="G255" s="69">
        <f t="shared" si="65"/>
        <v>3.39</v>
      </c>
      <c r="H255" s="255">
        <f t="shared" si="69"/>
        <v>147.54076404931902</v>
      </c>
      <c r="M255" s="292"/>
    </row>
    <row r="256" spans="1:13" ht="15" x14ac:dyDescent="0.2">
      <c r="A256" s="10">
        <v>2022</v>
      </c>
      <c r="B256" t="s">
        <v>17</v>
      </c>
      <c r="C256" s="106">
        <f t="shared" si="66"/>
        <v>164.31738830409324</v>
      </c>
      <c r="D256" s="106">
        <f t="shared" si="60"/>
        <v>245.7</v>
      </c>
      <c r="E256" s="106">
        <f t="shared" si="67"/>
        <v>162.32779809020747</v>
      </c>
      <c r="F256" s="106">
        <f t="shared" si="68"/>
        <v>129.74192771858569</v>
      </c>
      <c r="G256" s="69">
        <f t="shared" si="65"/>
        <v>3.39</v>
      </c>
      <c r="H256" s="255">
        <f t="shared" si="69"/>
        <v>147.56623563739836</v>
      </c>
      <c r="M256" s="292"/>
    </row>
    <row r="257" spans="1:13" ht="15.75" thickBot="1" x14ac:dyDescent="0.25">
      <c r="A257" s="10">
        <v>2022</v>
      </c>
      <c r="B257" t="s">
        <v>18</v>
      </c>
      <c r="C257" s="289">
        <f t="shared" si="66"/>
        <v>164.31738830409324</v>
      </c>
      <c r="D257" s="289">
        <f t="shared" si="60"/>
        <v>245.7</v>
      </c>
      <c r="E257" s="289">
        <f t="shared" si="67"/>
        <v>162.57156051019089</v>
      </c>
      <c r="F257" s="289">
        <f t="shared" si="68"/>
        <v>129.83491823325886</v>
      </c>
      <c r="G257" s="290">
        <f t="shared" si="65"/>
        <v>3.39</v>
      </c>
      <c r="H257" s="291">
        <f t="shared" si="69"/>
        <v>147.59173871476725</v>
      </c>
      <c r="M257" s="292"/>
    </row>
    <row r="258" spans="1:13" x14ac:dyDescent="0.2">
      <c r="A258" s="140" t="s">
        <v>42</v>
      </c>
      <c r="B258" s="140"/>
      <c r="C258" s="140"/>
      <c r="D258" s="140"/>
      <c r="E258" s="140"/>
      <c r="F258" s="140"/>
      <c r="G258" s="140"/>
      <c r="H258" s="141"/>
      <c r="I258" s="140"/>
      <c r="J258" s="140"/>
    </row>
    <row r="259" spans="1:13" x14ac:dyDescent="0.2">
      <c r="A259" s="140" t="s">
        <v>43</v>
      </c>
      <c r="B259" s="140"/>
      <c r="C259" s="140"/>
      <c r="D259" s="140"/>
      <c r="E259" s="140"/>
      <c r="F259" s="140"/>
      <c r="G259" s="140"/>
      <c r="H259" s="141"/>
      <c r="I259" s="140"/>
      <c r="J259" s="140"/>
    </row>
    <row r="260" spans="1:13" x14ac:dyDescent="0.2">
      <c r="A260" s="140" t="s">
        <v>45</v>
      </c>
      <c r="B260" s="140"/>
      <c r="C260" s="140"/>
      <c r="D260" s="140"/>
      <c r="E260" s="140"/>
      <c r="F260" s="140"/>
      <c r="G260" s="140"/>
      <c r="H260" s="141"/>
      <c r="I260" s="140"/>
      <c r="J260" s="140"/>
    </row>
    <row r="261" spans="1:13" x14ac:dyDescent="0.2">
      <c r="A261" s="142" t="s">
        <v>88</v>
      </c>
      <c r="B261" s="142" t="s">
        <v>114</v>
      </c>
      <c r="C261" s="142"/>
      <c r="D261" s="142"/>
      <c r="E261" s="142"/>
      <c r="F261" s="142"/>
      <c r="G261" s="142"/>
      <c r="H261" s="143"/>
      <c r="I261" s="142"/>
      <c r="J261" s="142"/>
    </row>
    <row r="262" spans="1:13" x14ac:dyDescent="0.2">
      <c r="A262" s="142" t="s">
        <v>115</v>
      </c>
      <c r="B262" s="142" t="s">
        <v>116</v>
      </c>
      <c r="C262" s="142"/>
      <c r="D262" s="142"/>
      <c r="E262" s="142"/>
      <c r="F262" s="142"/>
      <c r="G262" s="142"/>
      <c r="H262" s="143"/>
      <c r="I262" s="142"/>
      <c r="J262" s="142"/>
    </row>
    <row r="263" spans="1:13" x14ac:dyDescent="0.2">
      <c r="A263" s="137" t="s">
        <v>70</v>
      </c>
      <c r="B263" s="138" t="s">
        <v>131</v>
      </c>
      <c r="C263" s="138"/>
      <c r="D263" s="138"/>
      <c r="E263" s="138"/>
      <c r="F263" s="138"/>
      <c r="G263" s="138"/>
      <c r="H263" s="138"/>
      <c r="I263" s="138"/>
      <c r="J263" s="138"/>
    </row>
    <row r="264" spans="1:13" x14ac:dyDescent="0.2">
      <c r="A264" s="138" t="s">
        <v>130</v>
      </c>
      <c r="B264" s="138"/>
    </row>
  </sheetData>
  <pageMargins left="0.74803149606299213" right="0.74803149606299213" top="0.78740157480314965" bottom="0.39370078740157483" header="0" footer="0"/>
  <pageSetup paperSize="9" fitToHeight="0" orientation="portrait" r:id="rId1"/>
  <headerFooter alignWithMargins="0">
    <oddHeader>&amp;L&amp;G&amp;R&amp;14
RME - &amp;"Arial,Fed"Omkostningsindeks</oddHeader>
    <oddFooter>&amp;L&amp;D&amp;RKontaktinformation: FynBus (HNB/JNB)</oddFooter>
  </headerFooter>
  <rowBreaks count="1" manualBreakCount="1">
    <brk id="233" max="9" man="1"/>
  </rowBreaks>
  <legacyDrawing r:id="rId2"/>
  <legacyDrawingHF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255"/>
  <sheetViews>
    <sheetView tabSelected="1" view="pageBreakPreview" topLeftCell="A218" zoomScale="110" zoomScaleNormal="100" zoomScaleSheetLayoutView="110" workbookViewId="0">
      <selection activeCell="Q232" sqref="Q232"/>
    </sheetView>
  </sheetViews>
  <sheetFormatPr defaultRowHeight="12.75" x14ac:dyDescent="0.2"/>
  <cols>
    <col min="2" max="2" width="9.5703125" customWidth="1"/>
    <col min="3" max="3" width="13.28515625" bestFit="1" customWidth="1"/>
    <col min="5" max="5" width="10.140625" customWidth="1"/>
    <col min="6" max="6" width="11.140625" customWidth="1"/>
    <col min="7" max="7" width="11.85546875" bestFit="1" customWidth="1"/>
    <col min="19" max="20" width="9.5703125" bestFit="1" customWidth="1"/>
  </cols>
  <sheetData>
    <row r="1" spans="1:10" ht="18" x14ac:dyDescent="0.25">
      <c r="A1" s="1" t="s">
        <v>22</v>
      </c>
      <c r="C1" s="2"/>
      <c r="G1" s="71" t="s">
        <v>31</v>
      </c>
    </row>
    <row r="2" spans="1:10" x14ac:dyDescent="0.2">
      <c r="C2" s="3"/>
      <c r="D2" s="3"/>
      <c r="E2" s="3"/>
      <c r="F2" s="3"/>
      <c r="G2" s="3"/>
    </row>
    <row r="3" spans="1:10" x14ac:dyDescent="0.2">
      <c r="A3" s="2" t="s">
        <v>1</v>
      </c>
      <c r="B3" s="2" t="s">
        <v>2</v>
      </c>
      <c r="C3" s="2" t="s">
        <v>3</v>
      </c>
      <c r="D3" s="120" t="s">
        <v>118</v>
      </c>
      <c r="E3" s="2" t="s">
        <v>5</v>
      </c>
      <c r="F3" s="2" t="s">
        <v>6</v>
      </c>
      <c r="G3" s="2" t="s">
        <v>7</v>
      </c>
      <c r="H3" s="2" t="s">
        <v>21</v>
      </c>
      <c r="J3" s="223"/>
    </row>
    <row r="4" spans="1:10" hidden="1" x14ac:dyDescent="0.2">
      <c r="A4" s="2">
        <v>2005</v>
      </c>
      <c r="B4" t="s">
        <v>8</v>
      </c>
      <c r="C4" s="218" t="s">
        <v>19</v>
      </c>
      <c r="D4" s="83" t="s">
        <v>19</v>
      </c>
      <c r="E4" s="83" t="s">
        <v>19</v>
      </c>
      <c r="F4" s="83" t="s">
        <v>19</v>
      </c>
      <c r="G4" s="83" t="s">
        <v>19</v>
      </c>
      <c r="H4" s="83" t="s">
        <v>19</v>
      </c>
    </row>
    <row r="5" spans="1:10" hidden="1" x14ac:dyDescent="0.2">
      <c r="A5" s="10">
        <v>2005</v>
      </c>
      <c r="B5" t="s">
        <v>9</v>
      </c>
      <c r="C5" s="83" t="s">
        <v>19</v>
      </c>
      <c r="D5" s="83" t="s">
        <v>19</v>
      </c>
      <c r="E5" s="83" t="s">
        <v>19</v>
      </c>
      <c r="F5" s="83" t="s">
        <v>19</v>
      </c>
      <c r="G5" s="83" t="s">
        <v>19</v>
      </c>
      <c r="H5" s="83" t="s">
        <v>19</v>
      </c>
    </row>
    <row r="6" spans="1:10" hidden="1" x14ac:dyDescent="0.2">
      <c r="A6" s="12">
        <v>2005</v>
      </c>
      <c r="B6" s="13" t="s">
        <v>10</v>
      </c>
      <c r="C6" s="84" t="s">
        <v>19</v>
      </c>
      <c r="D6" s="84" t="s">
        <v>19</v>
      </c>
      <c r="E6" s="84" t="s">
        <v>19</v>
      </c>
      <c r="F6" s="84" t="s">
        <v>19</v>
      </c>
      <c r="G6" s="84" t="s">
        <v>19</v>
      </c>
      <c r="H6" s="84" t="s">
        <v>19</v>
      </c>
    </row>
    <row r="7" spans="1:10" hidden="1" x14ac:dyDescent="0.2">
      <c r="A7" s="17">
        <v>2005</v>
      </c>
      <c r="B7" s="18" t="s">
        <v>11</v>
      </c>
      <c r="C7" s="85" t="s">
        <v>19</v>
      </c>
      <c r="D7" s="85" t="s">
        <v>19</v>
      </c>
      <c r="E7" s="85" t="s">
        <v>19</v>
      </c>
      <c r="F7" s="85" t="s">
        <v>19</v>
      </c>
      <c r="G7" s="85" t="s">
        <v>19</v>
      </c>
      <c r="H7" s="85" t="s">
        <v>19</v>
      </c>
    </row>
    <row r="8" spans="1:10" hidden="1" x14ac:dyDescent="0.2">
      <c r="A8" s="10">
        <v>2005</v>
      </c>
      <c r="B8" t="s">
        <v>12</v>
      </c>
      <c r="C8" s="83" t="s">
        <v>19</v>
      </c>
      <c r="D8" s="83" t="s">
        <v>19</v>
      </c>
      <c r="E8" s="83" t="s">
        <v>19</v>
      </c>
      <c r="F8" s="83" t="s">
        <v>19</v>
      </c>
      <c r="G8" s="83" t="s">
        <v>19</v>
      </c>
      <c r="H8" s="83" t="s">
        <v>19</v>
      </c>
    </row>
    <row r="9" spans="1:10" hidden="1" x14ac:dyDescent="0.2">
      <c r="A9" s="12">
        <v>2005</v>
      </c>
      <c r="B9" s="13" t="s">
        <v>13</v>
      </c>
      <c r="C9" s="84" t="s">
        <v>19</v>
      </c>
      <c r="D9" s="84" t="s">
        <v>19</v>
      </c>
      <c r="E9" s="84" t="s">
        <v>19</v>
      </c>
      <c r="F9" s="84" t="s">
        <v>19</v>
      </c>
      <c r="G9" s="84" t="s">
        <v>19</v>
      </c>
      <c r="H9" s="84" t="s">
        <v>19</v>
      </c>
    </row>
    <row r="10" spans="1:10" hidden="1" x14ac:dyDescent="0.2">
      <c r="A10" s="17">
        <v>2005</v>
      </c>
      <c r="B10" s="212" t="s">
        <v>30</v>
      </c>
      <c r="C10" s="61">
        <v>0.61188607679281115</v>
      </c>
      <c r="D10" s="61">
        <v>0.15465639121680014</v>
      </c>
      <c r="E10" s="61">
        <v>8.4612136470404983E-2</v>
      </c>
      <c r="F10" s="61">
        <v>0.10203726514736525</v>
      </c>
      <c r="G10" s="61">
        <v>4.6808130372618377E-2</v>
      </c>
      <c r="H10" s="61">
        <f t="shared" ref="H10:H39" si="0">SUM(C10:G10)</f>
        <v>0.99999999999999989</v>
      </c>
    </row>
    <row r="11" spans="1:10" hidden="1" x14ac:dyDescent="0.2">
      <c r="A11" s="10">
        <v>2005</v>
      </c>
      <c r="B11" t="s">
        <v>14</v>
      </c>
      <c r="C11" s="59">
        <v>0.60761159635041417</v>
      </c>
      <c r="D11" s="59">
        <v>0.16090784761494437</v>
      </c>
      <c r="E11" s="59">
        <v>8.4097232643549902E-2</v>
      </c>
      <c r="F11" s="59">
        <v>0.10173220307661329</v>
      </c>
      <c r="G11" s="59">
        <v>4.5651120314478294E-2</v>
      </c>
      <c r="H11" s="59">
        <f t="shared" si="0"/>
        <v>1</v>
      </c>
    </row>
    <row r="12" spans="1:10" hidden="1" x14ac:dyDescent="0.2">
      <c r="A12" s="12">
        <v>2005</v>
      </c>
      <c r="B12" s="13" t="s">
        <v>15</v>
      </c>
      <c r="C12" s="60">
        <v>0.60437377294674866</v>
      </c>
      <c r="D12" s="60">
        <v>0.1653897609372251</v>
      </c>
      <c r="E12" s="60">
        <v>8.3573328590412277E-2</v>
      </c>
      <c r="F12" s="60">
        <v>0.10139288116686443</v>
      </c>
      <c r="G12" s="60">
        <v>4.5270256358749601E-2</v>
      </c>
      <c r="H12" s="60">
        <f t="shared" si="0"/>
        <v>1</v>
      </c>
    </row>
    <row r="13" spans="1:10" hidden="1" x14ac:dyDescent="0.2">
      <c r="A13" s="10">
        <v>2005</v>
      </c>
      <c r="B13" t="s">
        <v>16</v>
      </c>
      <c r="C13" s="61">
        <v>0.60589778919035231</v>
      </c>
      <c r="D13" s="61">
        <v>0.16433237064909859</v>
      </c>
      <c r="E13" s="61">
        <v>8.3367234702559606E-2</v>
      </c>
      <c r="F13" s="61">
        <v>0.10124398666704326</v>
      </c>
      <c r="G13" s="61">
        <v>4.5158618790946271E-2</v>
      </c>
      <c r="H13" s="61">
        <f t="shared" si="0"/>
        <v>1</v>
      </c>
    </row>
    <row r="14" spans="1:10" hidden="1" x14ac:dyDescent="0.2">
      <c r="A14" s="10">
        <v>2005</v>
      </c>
      <c r="B14" t="s">
        <v>17</v>
      </c>
      <c r="C14" s="59">
        <v>0.60224100698945104</v>
      </c>
      <c r="D14" s="59">
        <v>0.16811812389143332</v>
      </c>
      <c r="E14" s="59">
        <v>8.3540222323038177E-2</v>
      </c>
      <c r="F14" s="59">
        <v>0.1005324152036743</v>
      </c>
      <c r="G14" s="59">
        <v>4.5568231592403106E-2</v>
      </c>
      <c r="H14" s="59">
        <f t="shared" si="0"/>
        <v>0.99999999999999989</v>
      </c>
    </row>
    <row r="15" spans="1:10" ht="13.5" hidden="1" thickBot="1" x14ac:dyDescent="0.25">
      <c r="A15" s="29">
        <v>2005</v>
      </c>
      <c r="B15" s="30" t="s">
        <v>18</v>
      </c>
      <c r="C15" s="62">
        <v>0.59712542543431646</v>
      </c>
      <c r="D15" s="62">
        <v>0.17001876837336624</v>
      </c>
      <c r="E15" s="62">
        <v>8.2756123401012002E-2</v>
      </c>
      <c r="F15" s="62">
        <v>9.9778146891754807E-2</v>
      </c>
      <c r="G15" s="62">
        <v>5.0321535899550553E-2</v>
      </c>
      <c r="H15" s="62">
        <f t="shared" si="0"/>
        <v>1</v>
      </c>
    </row>
    <row r="16" spans="1:10" hidden="1" x14ac:dyDescent="0.2">
      <c r="A16" s="46">
        <v>2006</v>
      </c>
      <c r="B16" s="47" t="s">
        <v>8</v>
      </c>
      <c r="C16" s="59">
        <v>0.60394488282288639</v>
      </c>
      <c r="D16" s="59">
        <v>0.16173830201757691</v>
      </c>
      <c r="E16" s="59">
        <v>8.2815990126871353E-2</v>
      </c>
      <c r="F16" s="59">
        <v>9.9920639096926722E-2</v>
      </c>
      <c r="G16" s="59">
        <v>5.1580185935738695E-2</v>
      </c>
      <c r="H16" s="59">
        <f t="shared" si="0"/>
        <v>1</v>
      </c>
    </row>
    <row r="17" spans="1:8" hidden="1" x14ac:dyDescent="0.2">
      <c r="A17" s="10">
        <v>2006</v>
      </c>
      <c r="B17" t="s">
        <v>9</v>
      </c>
      <c r="C17" s="59">
        <v>0.60577489209437663</v>
      </c>
      <c r="D17" s="59">
        <v>0.16119754453041626</v>
      </c>
      <c r="E17" s="59">
        <v>8.3066930293880389E-2</v>
      </c>
      <c r="F17" s="59">
        <v>9.9721789285774035E-2</v>
      </c>
      <c r="G17" s="59">
        <v>5.0238843795552567E-2</v>
      </c>
      <c r="H17" s="59">
        <f t="shared" si="0"/>
        <v>0.99999999999999978</v>
      </c>
    </row>
    <row r="18" spans="1:8" hidden="1" x14ac:dyDescent="0.2">
      <c r="A18" s="12">
        <v>2006</v>
      </c>
      <c r="B18" s="13" t="s">
        <v>10</v>
      </c>
      <c r="C18" s="60">
        <v>0.60476960711114647</v>
      </c>
      <c r="D18" s="60">
        <v>0.16221644795827478</v>
      </c>
      <c r="E18" s="60">
        <v>8.2629697548409389E-2</v>
      </c>
      <c r="F18" s="60">
        <v>9.9956929698074348E-2</v>
      </c>
      <c r="G18" s="60">
        <v>5.0427317684094954E-2</v>
      </c>
      <c r="H18" s="60">
        <f t="shared" si="0"/>
        <v>0.99999999999999989</v>
      </c>
    </row>
    <row r="19" spans="1:8" hidden="1" x14ac:dyDescent="0.2">
      <c r="A19" s="17">
        <v>2006</v>
      </c>
      <c r="B19" s="18" t="s">
        <v>11</v>
      </c>
      <c r="C19" s="61">
        <v>0.60565174143485312</v>
      </c>
      <c r="D19" s="61">
        <v>0.16105234848145211</v>
      </c>
      <c r="E19" s="61">
        <v>8.291988158467839E-2</v>
      </c>
      <c r="F19" s="61">
        <v>9.8920309613118471E-2</v>
      </c>
      <c r="G19" s="61">
        <v>5.1455718885897915E-2</v>
      </c>
      <c r="H19" s="61">
        <f t="shared" si="0"/>
        <v>1</v>
      </c>
    </row>
    <row r="20" spans="1:8" hidden="1" x14ac:dyDescent="0.2">
      <c r="A20" s="10">
        <v>2006</v>
      </c>
      <c r="B20" t="s">
        <v>12</v>
      </c>
      <c r="C20" s="59">
        <v>0.60271032763559296</v>
      </c>
      <c r="D20" s="59">
        <v>0.16217815850485515</v>
      </c>
      <c r="E20" s="59">
        <v>8.2813197857281334E-2</v>
      </c>
      <c r="F20" s="59">
        <v>9.8538926427594084E-2</v>
      </c>
      <c r="G20" s="59">
        <v>5.3759389574676374E-2</v>
      </c>
      <c r="H20" s="59">
        <f t="shared" si="0"/>
        <v>1</v>
      </c>
    </row>
    <row r="21" spans="1:8" hidden="1" x14ac:dyDescent="0.2">
      <c r="A21" s="12">
        <v>2006</v>
      </c>
      <c r="B21" s="13" t="s">
        <v>13</v>
      </c>
      <c r="C21" s="60">
        <v>0.6004293218563298</v>
      </c>
      <c r="D21" s="60">
        <v>0.16333842247677172</v>
      </c>
      <c r="E21" s="60">
        <v>8.286841638542243E-2</v>
      </c>
      <c r="F21" s="60">
        <v>9.8067338629474907E-2</v>
      </c>
      <c r="G21" s="60">
        <v>5.5296500652001347E-2</v>
      </c>
      <c r="H21" s="60">
        <f t="shared" si="0"/>
        <v>1.0000000000000002</v>
      </c>
    </row>
    <row r="22" spans="1:8" hidden="1" x14ac:dyDescent="0.2">
      <c r="A22" s="17">
        <v>2006</v>
      </c>
      <c r="B22" s="212" t="s">
        <v>30</v>
      </c>
      <c r="C22" s="61">
        <v>0.60178874865918519</v>
      </c>
      <c r="D22" s="61">
        <v>0.16419971290900576</v>
      </c>
      <c r="E22" s="61">
        <v>8.2483634476023249E-2</v>
      </c>
      <c r="F22" s="61">
        <v>9.6936534135910579E-2</v>
      </c>
      <c r="G22" s="61">
        <v>5.4591369819875349E-2</v>
      </c>
      <c r="H22" s="61">
        <f t="shared" si="0"/>
        <v>1.0000000000000002</v>
      </c>
    </row>
    <row r="23" spans="1:8" hidden="1" x14ac:dyDescent="0.2">
      <c r="A23" s="10">
        <v>2006</v>
      </c>
      <c r="B23" t="s">
        <v>14</v>
      </c>
      <c r="C23" s="59">
        <v>0.60124781101898783</v>
      </c>
      <c r="D23" s="59">
        <v>0.16405211658817065</v>
      </c>
      <c r="E23" s="59">
        <v>8.2629249987673292E-2</v>
      </c>
      <c r="F23" s="59">
        <v>9.6065193874741939E-2</v>
      </c>
      <c r="G23" s="59">
        <v>5.6005628530426316E-2</v>
      </c>
      <c r="H23" s="59">
        <f t="shared" si="0"/>
        <v>1</v>
      </c>
    </row>
    <row r="24" spans="1:8" hidden="1" x14ac:dyDescent="0.2">
      <c r="A24" s="12">
        <v>2006</v>
      </c>
      <c r="B24" s="13" t="s">
        <v>15</v>
      </c>
      <c r="C24" s="60">
        <v>0.6009219316539961</v>
      </c>
      <c r="D24" s="60">
        <v>0.16509571585188784</v>
      </c>
      <c r="E24" s="60">
        <v>8.2364824981540491E-2</v>
      </c>
      <c r="F24" s="60">
        <v>9.6307043784929686E-2</v>
      </c>
      <c r="G24" s="60">
        <v>5.5310483727645812E-2</v>
      </c>
      <c r="H24" s="60">
        <f t="shared" si="0"/>
        <v>1</v>
      </c>
    </row>
    <row r="25" spans="1:8" hidden="1" x14ac:dyDescent="0.2">
      <c r="A25" s="10">
        <v>2006</v>
      </c>
      <c r="B25" t="s">
        <v>16</v>
      </c>
      <c r="C25" s="61">
        <v>0.60088378917885732</v>
      </c>
      <c r="D25" s="61">
        <v>0.16718280096156343</v>
      </c>
      <c r="E25" s="61">
        <v>8.1724228863008799E-2</v>
      </c>
      <c r="F25" s="61">
        <v>9.5460800843165008E-2</v>
      </c>
      <c r="G25" s="61">
        <v>5.4748380153405593E-2</v>
      </c>
      <c r="H25" s="61">
        <f t="shared" si="0"/>
        <v>1.0000000000000002</v>
      </c>
    </row>
    <row r="26" spans="1:8" hidden="1" x14ac:dyDescent="0.2">
      <c r="A26" s="10">
        <v>2006</v>
      </c>
      <c r="B26" t="s">
        <v>17</v>
      </c>
      <c r="C26" s="59">
        <v>0.60517892342156232</v>
      </c>
      <c r="D26" s="59">
        <v>0.16146163672551864</v>
      </c>
      <c r="E26" s="59">
        <v>8.2601048026331586E-2</v>
      </c>
      <c r="F26" s="59">
        <v>9.5751535513114952E-2</v>
      </c>
      <c r="G26" s="59">
        <v>5.5006856313472401E-2</v>
      </c>
      <c r="H26" s="59">
        <f t="shared" si="0"/>
        <v>0.99999999999999989</v>
      </c>
    </row>
    <row r="27" spans="1:8" ht="13.5" hidden="1" thickBot="1" x14ac:dyDescent="0.25">
      <c r="A27" s="29">
        <v>2006</v>
      </c>
      <c r="B27" s="30" t="s">
        <v>18</v>
      </c>
      <c r="C27" s="62">
        <v>0.60699010960025568</v>
      </c>
      <c r="D27" s="62">
        <v>0.1565214738124156</v>
      </c>
      <c r="E27" s="62">
        <v>8.2774875375180648E-2</v>
      </c>
      <c r="F27" s="62">
        <v>9.57435063639515E-2</v>
      </c>
      <c r="G27" s="62">
        <v>5.7970034848196753E-2</v>
      </c>
      <c r="H27" s="62">
        <f t="shared" si="0"/>
        <v>1.0000000000000002</v>
      </c>
    </row>
    <row r="28" spans="1:8" hidden="1" x14ac:dyDescent="0.2">
      <c r="A28" s="46">
        <v>2007</v>
      </c>
      <c r="B28" s="47" t="s">
        <v>8</v>
      </c>
      <c r="C28" s="59">
        <v>0.60940856382284836</v>
      </c>
      <c r="D28" s="59">
        <v>0.15558833836690872</v>
      </c>
      <c r="E28" s="59">
        <v>8.2474282867115403E-2</v>
      </c>
      <c r="F28" s="59">
        <v>9.5382536090224471E-2</v>
      </c>
      <c r="G28" s="59">
        <v>5.714627885290282E-2</v>
      </c>
      <c r="H28" s="59">
        <f t="shared" si="0"/>
        <v>0.99999999999999989</v>
      </c>
    </row>
    <row r="29" spans="1:8" hidden="1" x14ac:dyDescent="0.2">
      <c r="A29" s="10">
        <v>2007</v>
      </c>
      <c r="B29" t="s">
        <v>9</v>
      </c>
      <c r="C29" s="59">
        <v>0.60913770868189332</v>
      </c>
      <c r="D29" s="59">
        <v>0.15476484903430182</v>
      </c>
      <c r="E29" s="59">
        <v>8.2510774547554219E-2</v>
      </c>
      <c r="F29" s="59">
        <v>9.5535913087208824E-2</v>
      </c>
      <c r="G29" s="59">
        <v>5.8050754649041809E-2</v>
      </c>
      <c r="H29" s="59">
        <f t="shared" si="0"/>
        <v>1</v>
      </c>
    </row>
    <row r="30" spans="1:8" hidden="1" x14ac:dyDescent="0.2">
      <c r="A30" s="12">
        <v>2007</v>
      </c>
      <c r="B30" s="13" t="s">
        <v>10</v>
      </c>
      <c r="C30" s="60">
        <v>0.61194447432116739</v>
      </c>
      <c r="D30" s="60">
        <v>0.14966806989460815</v>
      </c>
      <c r="E30" s="60">
        <v>8.259702551544712E-2</v>
      </c>
      <c r="F30" s="60">
        <v>9.6271129039771058E-2</v>
      </c>
      <c r="G30" s="60">
        <v>5.9519301229006179E-2</v>
      </c>
      <c r="H30" s="60">
        <f t="shared" si="0"/>
        <v>0.99999999999999989</v>
      </c>
    </row>
    <row r="31" spans="1:8" hidden="1" x14ac:dyDescent="0.2">
      <c r="A31" s="10">
        <v>2007</v>
      </c>
      <c r="B31" t="s">
        <v>11</v>
      </c>
      <c r="C31" s="61">
        <v>0.61053038347005051</v>
      </c>
      <c r="D31" s="61">
        <v>0.15266848830628221</v>
      </c>
      <c r="E31" s="61">
        <v>8.2574094434012341E-2</v>
      </c>
      <c r="F31" s="61">
        <v>9.5616817113506919E-2</v>
      </c>
      <c r="G31" s="61">
        <v>5.8610216676147985E-2</v>
      </c>
      <c r="H31" s="61">
        <f t="shared" si="0"/>
        <v>0.99999999999999989</v>
      </c>
    </row>
    <row r="32" spans="1:8" hidden="1" x14ac:dyDescent="0.2">
      <c r="A32" s="10">
        <v>2007</v>
      </c>
      <c r="B32" t="s">
        <v>12</v>
      </c>
      <c r="C32" s="59">
        <v>0.60940360594731779</v>
      </c>
      <c r="D32" s="59">
        <v>0.15363375491498699</v>
      </c>
      <c r="E32" s="59">
        <v>8.2784469590554965E-2</v>
      </c>
      <c r="F32" s="59">
        <v>9.5149076749615119E-2</v>
      </c>
      <c r="G32" s="59">
        <v>5.902909279752503E-2</v>
      </c>
      <c r="H32" s="59">
        <f t="shared" si="0"/>
        <v>0.99999999999999989</v>
      </c>
    </row>
    <row r="33" spans="1:8" hidden="1" x14ac:dyDescent="0.2">
      <c r="A33" s="12">
        <v>2007</v>
      </c>
      <c r="B33" s="13" t="s">
        <v>13</v>
      </c>
      <c r="C33" s="60">
        <v>0.60711499271718061</v>
      </c>
      <c r="D33" s="60">
        <v>0.15541723750276298</v>
      </c>
      <c r="E33" s="60">
        <v>8.2618136456668254E-2</v>
      </c>
      <c r="F33" s="60">
        <v>9.4598292165808326E-2</v>
      </c>
      <c r="G33" s="60">
        <v>6.02513411575799E-2</v>
      </c>
      <c r="H33" s="60">
        <f t="shared" si="0"/>
        <v>1</v>
      </c>
    </row>
    <row r="34" spans="1:8" hidden="1" x14ac:dyDescent="0.2">
      <c r="A34" s="10">
        <v>2007</v>
      </c>
      <c r="B34" s="120" t="s">
        <v>30</v>
      </c>
      <c r="C34" s="59">
        <v>0.6081933547578543</v>
      </c>
      <c r="D34" s="59">
        <v>0.15385877852387919</v>
      </c>
      <c r="E34" s="59">
        <v>8.2129744247012443E-2</v>
      </c>
      <c r="F34" s="59">
        <v>9.3682846528918257E-2</v>
      </c>
      <c r="G34" s="59">
        <v>6.2135275942335824E-2</v>
      </c>
      <c r="H34" s="59">
        <f t="shared" si="0"/>
        <v>1</v>
      </c>
    </row>
    <row r="35" spans="1:8" hidden="1" x14ac:dyDescent="0.2">
      <c r="A35" s="10">
        <v>2007</v>
      </c>
      <c r="B35" t="s">
        <v>14</v>
      </c>
      <c r="C35" s="59">
        <v>0.60504475774328026</v>
      </c>
      <c r="D35" s="59">
        <v>0.15649634577493732</v>
      </c>
      <c r="E35" s="59">
        <v>8.163320356410525E-2</v>
      </c>
      <c r="F35" s="59">
        <v>9.3197853510513462E-2</v>
      </c>
      <c r="G35" s="59">
        <v>6.362783940716385E-2</v>
      </c>
      <c r="H35" s="59">
        <f t="shared" si="0"/>
        <v>1</v>
      </c>
    </row>
    <row r="36" spans="1:8" hidden="1" x14ac:dyDescent="0.2">
      <c r="A36" s="12">
        <v>2007</v>
      </c>
      <c r="B36" s="13" t="s">
        <v>15</v>
      </c>
      <c r="C36" s="60">
        <v>0.60515424145306584</v>
      </c>
      <c r="D36" s="60">
        <v>0.15799668279517801</v>
      </c>
      <c r="E36" s="60">
        <v>8.1291122169941402E-2</v>
      </c>
      <c r="F36" s="60">
        <v>9.32147177947103E-2</v>
      </c>
      <c r="G36" s="60">
        <v>6.2343235787104677E-2</v>
      </c>
      <c r="H36" s="60">
        <f t="shared" si="0"/>
        <v>1.0000000000000002</v>
      </c>
    </row>
    <row r="37" spans="1:8" hidden="1" x14ac:dyDescent="0.2">
      <c r="A37" s="10">
        <v>2007</v>
      </c>
      <c r="B37" t="s">
        <v>16</v>
      </c>
      <c r="C37" s="59">
        <v>0.60854985000501993</v>
      </c>
      <c r="D37" s="59">
        <v>0.15613380869231785</v>
      </c>
      <c r="E37" s="59">
        <v>8.0692791128711541E-2</v>
      </c>
      <c r="F37" s="59">
        <v>9.2501442800379863E-2</v>
      </c>
      <c r="G37" s="59">
        <v>6.2122107373570809E-2</v>
      </c>
      <c r="H37" s="59">
        <f t="shared" si="0"/>
        <v>1</v>
      </c>
    </row>
    <row r="38" spans="1:8" hidden="1" x14ac:dyDescent="0.2">
      <c r="A38" s="10">
        <v>2007</v>
      </c>
      <c r="B38" t="s">
        <v>17</v>
      </c>
      <c r="C38" s="59">
        <v>0.606139213087725</v>
      </c>
      <c r="D38" s="59">
        <v>0.15879572006924017</v>
      </c>
      <c r="E38" s="59">
        <v>8.0797277001495832E-2</v>
      </c>
      <c r="F38" s="59">
        <v>9.2135018598786853E-2</v>
      </c>
      <c r="G38" s="59">
        <v>6.2132771242752176E-2</v>
      </c>
      <c r="H38" s="59">
        <f t="shared" si="0"/>
        <v>1</v>
      </c>
    </row>
    <row r="39" spans="1:8" ht="13.5" hidden="1" thickBot="1" x14ac:dyDescent="0.25">
      <c r="A39" s="29">
        <v>2007</v>
      </c>
      <c r="B39" s="30" t="s">
        <v>18</v>
      </c>
      <c r="C39" s="62">
        <v>0.60550614902089706</v>
      </c>
      <c r="D39" s="62">
        <v>0.15935808730150972</v>
      </c>
      <c r="E39" s="62">
        <v>8.0995350499406107E-2</v>
      </c>
      <c r="F39" s="62">
        <v>9.1944295241314908E-2</v>
      </c>
      <c r="G39" s="62">
        <v>6.2196117936872256E-2</v>
      </c>
      <c r="H39" s="62">
        <f t="shared" si="0"/>
        <v>1</v>
      </c>
    </row>
    <row r="40" spans="1:8" s="2" customFormat="1" ht="14.1" hidden="1" customHeight="1" x14ac:dyDescent="0.2">
      <c r="A40" s="2">
        <v>2008</v>
      </c>
      <c r="B40" s="2" t="s">
        <v>8</v>
      </c>
      <c r="C40" s="63">
        <v>0.6</v>
      </c>
      <c r="D40" s="63">
        <v>0.17</v>
      </c>
      <c r="E40" s="63">
        <v>0.08</v>
      </c>
      <c r="F40" s="63">
        <v>0.09</v>
      </c>
      <c r="G40" s="63">
        <v>0.06</v>
      </c>
      <c r="H40" s="63">
        <f>SUM(C40:G40)</f>
        <v>1</v>
      </c>
    </row>
    <row r="41" spans="1:8" ht="14.1" hidden="1" customHeight="1" x14ac:dyDescent="0.2">
      <c r="A41" s="10">
        <f>A40</f>
        <v>2008</v>
      </c>
      <c r="B41" s="21" t="s">
        <v>9</v>
      </c>
      <c r="C41" s="59">
        <v>0.6037222692680847</v>
      </c>
      <c r="D41" s="59">
        <v>0.16326854226436496</v>
      </c>
      <c r="E41" s="59">
        <v>8.0426608800619886E-2</v>
      </c>
      <c r="F41" s="59">
        <v>9.0185288524547561E-2</v>
      </c>
      <c r="G41" s="21">
        <v>6.2397291142382759E-2</v>
      </c>
      <c r="H41" s="59">
        <f>SUM(C41:G41)</f>
        <v>0.99999999999999989</v>
      </c>
    </row>
    <row r="42" spans="1:8" ht="14.1" hidden="1" customHeight="1" x14ac:dyDescent="0.2">
      <c r="A42" s="12">
        <f t="shared" ref="A42:A51" si="1">A41</f>
        <v>2008</v>
      </c>
      <c r="B42" s="13" t="s">
        <v>10</v>
      </c>
      <c r="C42" s="60">
        <v>0.60286809743575787</v>
      </c>
      <c r="D42" s="60">
        <v>0.16770259377081992</v>
      </c>
      <c r="E42" s="60">
        <v>8.0521603316960677E-2</v>
      </c>
      <c r="F42" s="60">
        <v>9.0895869685473668E-2</v>
      </c>
      <c r="G42" s="60">
        <v>5.8011835790988016E-2</v>
      </c>
      <c r="H42" s="60">
        <f t="shared" ref="H42:H58" si="2">SUM(C42:G42)</f>
        <v>1.0000000000000002</v>
      </c>
    </row>
    <row r="43" spans="1:8" ht="14.1" hidden="1" customHeight="1" x14ac:dyDescent="0.2">
      <c r="A43" s="17">
        <f t="shared" si="1"/>
        <v>2008</v>
      </c>
      <c r="B43" s="18" t="s">
        <v>11</v>
      </c>
      <c r="C43" s="61">
        <v>0.60509672081169275</v>
      </c>
      <c r="D43" s="61">
        <v>0.16716193467208848</v>
      </c>
      <c r="E43" s="61">
        <v>8.0829627924801584E-2</v>
      </c>
      <c r="F43" s="61">
        <v>8.9875599775733464E-2</v>
      </c>
      <c r="G43" s="61">
        <v>5.7036116815683734E-2</v>
      </c>
      <c r="H43" s="61">
        <f t="shared" si="2"/>
        <v>1</v>
      </c>
    </row>
    <row r="44" spans="1:8" ht="14.1" hidden="1" customHeight="1" x14ac:dyDescent="0.2">
      <c r="A44" s="10">
        <f t="shared" si="1"/>
        <v>2008</v>
      </c>
      <c r="B44" t="s">
        <v>12</v>
      </c>
      <c r="C44" s="59">
        <v>0.59759071820588605</v>
      </c>
      <c r="D44" s="59">
        <v>0.1750475502328161</v>
      </c>
      <c r="E44" s="59">
        <v>8.0167815630538319E-2</v>
      </c>
      <c r="F44" s="59">
        <v>8.8760725966451931E-2</v>
      </c>
      <c r="G44" s="59">
        <v>5.8433189964307478E-2</v>
      </c>
      <c r="H44" s="59">
        <f t="shared" si="2"/>
        <v>0.99999999999999978</v>
      </c>
    </row>
    <row r="45" spans="1:8" ht="14.1" hidden="1" customHeight="1" x14ac:dyDescent="0.2">
      <c r="A45" s="12">
        <f t="shared" si="1"/>
        <v>2008</v>
      </c>
      <c r="B45" s="13" t="s">
        <v>13</v>
      </c>
      <c r="C45" s="60">
        <v>0.59494076192632961</v>
      </c>
      <c r="D45" s="60">
        <v>0.1759043839489014</v>
      </c>
      <c r="E45" s="60">
        <v>8.0083789943459341E-2</v>
      </c>
      <c r="F45" s="60">
        <v>8.8185486913374966E-2</v>
      </c>
      <c r="G45" s="60">
        <v>6.0885577267934643E-2</v>
      </c>
      <c r="H45" s="60">
        <f t="shared" si="2"/>
        <v>1</v>
      </c>
    </row>
    <row r="46" spans="1:8" ht="14.1" hidden="1" customHeight="1" x14ac:dyDescent="0.2">
      <c r="A46" s="17">
        <f t="shared" si="1"/>
        <v>2008</v>
      </c>
      <c r="B46" s="212" t="s">
        <v>30</v>
      </c>
      <c r="C46" s="61">
        <v>0.59048233719361365</v>
      </c>
      <c r="D46" s="61">
        <v>0.18076523689568158</v>
      </c>
      <c r="E46" s="61">
        <v>7.896274047966316E-2</v>
      </c>
      <c r="F46" s="61">
        <v>8.6568027339674419E-2</v>
      </c>
      <c r="G46" s="61">
        <v>6.3221658091367219E-2</v>
      </c>
      <c r="H46" s="61">
        <f t="shared" si="2"/>
        <v>1</v>
      </c>
    </row>
    <row r="47" spans="1:8" ht="14.1" hidden="1" customHeight="1" x14ac:dyDescent="0.2">
      <c r="A47" s="10">
        <f t="shared" si="1"/>
        <v>2008</v>
      </c>
      <c r="B47" t="s">
        <v>14</v>
      </c>
      <c r="C47" s="59">
        <v>0.58317223935229101</v>
      </c>
      <c r="D47" s="59">
        <v>0.18735752912824488</v>
      </c>
      <c r="E47" s="59">
        <v>7.8248655065524378E-2</v>
      </c>
      <c r="F47" s="59">
        <v>8.5672607020119085E-2</v>
      </c>
      <c r="G47" s="59">
        <v>6.5548969433820672E-2</v>
      </c>
      <c r="H47" s="59">
        <f t="shared" si="2"/>
        <v>1</v>
      </c>
    </row>
    <row r="48" spans="1:8" ht="14.1" hidden="1" customHeight="1" x14ac:dyDescent="0.2">
      <c r="A48" s="12">
        <f t="shared" si="1"/>
        <v>2008</v>
      </c>
      <c r="B48" s="13" t="s">
        <v>15</v>
      </c>
      <c r="C48" s="60">
        <v>0.58349539745158108</v>
      </c>
      <c r="D48" s="60">
        <v>0.18825423900920157</v>
      </c>
      <c r="E48" s="60">
        <v>7.8028406165415481E-2</v>
      </c>
      <c r="F48" s="60">
        <v>8.6072839033768347E-2</v>
      </c>
      <c r="G48" s="60">
        <v>6.4149118340033562E-2</v>
      </c>
      <c r="H48" s="60">
        <f t="shared" si="2"/>
        <v>1</v>
      </c>
    </row>
    <row r="49" spans="1:8" ht="14.1" hidden="1" customHeight="1" x14ac:dyDescent="0.2">
      <c r="A49" s="17">
        <f t="shared" si="1"/>
        <v>2008</v>
      </c>
      <c r="B49" s="18" t="s">
        <v>16</v>
      </c>
      <c r="C49" s="61">
        <v>0.59653417421525201</v>
      </c>
      <c r="D49" s="61">
        <v>0.17542588079092694</v>
      </c>
      <c r="E49" s="61">
        <v>7.8911497306830142E-2</v>
      </c>
      <c r="F49" s="61">
        <v>8.6900182674933019E-2</v>
      </c>
      <c r="G49" s="61">
        <v>6.2228265012057929E-2</v>
      </c>
      <c r="H49" s="61">
        <f t="shared" si="2"/>
        <v>1</v>
      </c>
    </row>
    <row r="50" spans="1:8" ht="14.1" hidden="1" customHeight="1" x14ac:dyDescent="0.2">
      <c r="A50" s="10">
        <f t="shared" si="1"/>
        <v>2008</v>
      </c>
      <c r="B50" t="s">
        <v>17</v>
      </c>
      <c r="C50" s="59">
        <v>0.59673730282125037</v>
      </c>
      <c r="D50" s="59">
        <v>0.17445603924253902</v>
      </c>
      <c r="E50" s="59">
        <v>7.9271160269587429E-2</v>
      </c>
      <c r="F50" s="59">
        <v>8.7286043020723819E-2</v>
      </c>
      <c r="G50" s="59">
        <v>6.2249454645899482E-2</v>
      </c>
      <c r="H50" s="59">
        <f t="shared" si="2"/>
        <v>1.0000000000000002</v>
      </c>
    </row>
    <row r="51" spans="1:8" ht="14.1" hidden="1" customHeight="1" thickBot="1" x14ac:dyDescent="0.25">
      <c r="A51" s="29">
        <f t="shared" si="1"/>
        <v>2008</v>
      </c>
      <c r="B51" s="30" t="s">
        <v>18</v>
      </c>
      <c r="C51" s="62">
        <v>0.60105446764492776</v>
      </c>
      <c r="D51" s="62">
        <v>0.16361953405577373</v>
      </c>
      <c r="E51" s="62">
        <v>7.9710576590961341E-2</v>
      </c>
      <c r="F51" s="62">
        <v>8.9263200350614386E-2</v>
      </c>
      <c r="G51" s="62">
        <v>6.6352221357722757E-2</v>
      </c>
      <c r="H51" s="62">
        <f t="shared" si="2"/>
        <v>1</v>
      </c>
    </row>
    <row r="52" spans="1:8" ht="14.1" hidden="1" customHeight="1" x14ac:dyDescent="0.2">
      <c r="A52" s="46">
        <v>2009</v>
      </c>
      <c r="B52" s="47" t="s">
        <v>8</v>
      </c>
      <c r="C52" s="48">
        <v>0.61209827620496648</v>
      </c>
      <c r="D52" s="48">
        <v>0.15594702694224746</v>
      </c>
      <c r="E52" s="48">
        <v>8.018563292930736E-2</v>
      </c>
      <c r="F52" s="48">
        <v>9.0746123594251243E-2</v>
      </c>
      <c r="G52" s="48">
        <v>6.1022940329227449E-2</v>
      </c>
      <c r="H52" s="48">
        <f t="shared" si="2"/>
        <v>1</v>
      </c>
    </row>
    <row r="53" spans="1:8" ht="14.1" hidden="1" customHeight="1" x14ac:dyDescent="0.2">
      <c r="A53" s="10">
        <f>A52</f>
        <v>2009</v>
      </c>
      <c r="B53" t="s">
        <v>9</v>
      </c>
      <c r="C53" s="59">
        <v>0.62431006852098359</v>
      </c>
      <c r="D53" s="59">
        <v>0.14602071617330725</v>
      </c>
      <c r="E53" s="59">
        <v>8.1509556796623001E-2</v>
      </c>
      <c r="F53" s="59">
        <v>9.2556572762132125E-2</v>
      </c>
      <c r="G53" s="59">
        <v>5.5603085746954044E-2</v>
      </c>
      <c r="H53" s="59">
        <f t="shared" si="2"/>
        <v>1</v>
      </c>
    </row>
    <row r="54" spans="1:8" ht="14.1" hidden="1" customHeight="1" x14ac:dyDescent="0.2">
      <c r="A54" s="12">
        <f t="shared" ref="A54:A63" si="3">A53</f>
        <v>2009</v>
      </c>
      <c r="B54" s="13" t="s">
        <v>10</v>
      </c>
      <c r="C54" s="60">
        <v>0.62682845992187919</v>
      </c>
      <c r="D54" s="60">
        <v>0.14458672200935604</v>
      </c>
      <c r="E54" s="60">
        <v>8.1561407749565037E-2</v>
      </c>
      <c r="F54" s="60">
        <v>9.1447503134238772E-2</v>
      </c>
      <c r="G54" s="60">
        <v>5.5575907184961248E-2</v>
      </c>
      <c r="H54" s="60">
        <f t="shared" si="2"/>
        <v>1.0000000000000002</v>
      </c>
    </row>
    <row r="55" spans="1:8" ht="14.1" hidden="1" customHeight="1" x14ac:dyDescent="0.2">
      <c r="A55" s="17">
        <f t="shared" si="3"/>
        <v>2009</v>
      </c>
      <c r="B55" s="18" t="s">
        <v>11</v>
      </c>
      <c r="C55" s="61">
        <v>0.62975652138231064</v>
      </c>
      <c r="D55" s="61">
        <v>0.14328237660383619</v>
      </c>
      <c r="E55" s="61">
        <v>8.226104232240096E-2</v>
      </c>
      <c r="F55" s="61">
        <v>9.273316935212364E-2</v>
      </c>
      <c r="G55" s="61">
        <v>5.1966890339328525E-2</v>
      </c>
      <c r="H55" s="61">
        <f t="shared" si="2"/>
        <v>1</v>
      </c>
    </row>
    <row r="56" spans="1:8" ht="14.1" hidden="1" customHeight="1" x14ac:dyDescent="0.2">
      <c r="A56" s="10">
        <f t="shared" si="3"/>
        <v>2009</v>
      </c>
      <c r="B56" t="s">
        <v>12</v>
      </c>
      <c r="C56" s="59">
        <v>0.63296743858849247</v>
      </c>
      <c r="D56" s="59">
        <v>0.14103499060019578</v>
      </c>
      <c r="E56" s="59">
        <v>8.2957682431663071E-2</v>
      </c>
      <c r="F56" s="59">
        <v>9.3576953761961554E-2</v>
      </c>
      <c r="G56" s="59">
        <v>4.9462934617687235E-2</v>
      </c>
      <c r="H56" s="59">
        <f t="shared" si="2"/>
        <v>1</v>
      </c>
    </row>
    <row r="57" spans="1:8" ht="14.1" hidden="1" customHeight="1" x14ac:dyDescent="0.2">
      <c r="A57" s="12">
        <f t="shared" si="3"/>
        <v>2009</v>
      </c>
      <c r="B57" s="13" t="s">
        <v>13</v>
      </c>
      <c r="C57" s="60">
        <v>0.6310994304982942</v>
      </c>
      <c r="D57" s="60">
        <v>0.14525063758930537</v>
      </c>
      <c r="E57" s="60">
        <v>8.2643758296556818E-2</v>
      </c>
      <c r="F57" s="60">
        <v>9.2191167379316888E-2</v>
      </c>
      <c r="G57" s="60">
        <v>4.8815006236526765E-2</v>
      </c>
      <c r="H57" s="60">
        <f t="shared" si="2"/>
        <v>1</v>
      </c>
    </row>
    <row r="58" spans="1:8" ht="14.1" hidden="1" customHeight="1" x14ac:dyDescent="0.2">
      <c r="A58" s="17">
        <f t="shared" si="3"/>
        <v>2009</v>
      </c>
      <c r="B58" s="212" t="s">
        <v>30</v>
      </c>
      <c r="C58" s="61">
        <v>0.63288553231685318</v>
      </c>
      <c r="D58" s="61">
        <v>0.14557331848852614</v>
      </c>
      <c r="E58" s="61">
        <v>8.2294932720904254E-2</v>
      </c>
      <c r="F58" s="61">
        <v>9.1756043034506726E-2</v>
      </c>
      <c r="G58" s="61">
        <v>4.7490173439209714E-2</v>
      </c>
      <c r="H58" s="61">
        <f t="shared" si="2"/>
        <v>1</v>
      </c>
    </row>
    <row r="59" spans="1:8" ht="14.1" hidden="1" customHeight="1" x14ac:dyDescent="0.2">
      <c r="A59" s="10">
        <f t="shared" si="3"/>
        <v>2009</v>
      </c>
      <c r="B59" t="s">
        <v>14</v>
      </c>
      <c r="C59" s="59">
        <v>0.63145780637370053</v>
      </c>
      <c r="D59" s="59">
        <v>0.15007072341601863</v>
      </c>
      <c r="E59" s="59">
        <v>8.2314728063796652E-2</v>
      </c>
      <c r="F59" s="59">
        <v>9.0266080974917673E-2</v>
      </c>
      <c r="G59" s="59">
        <v>4.5890661171566538E-2</v>
      </c>
      <c r="H59" s="59">
        <f>SUM(C59:G59)</f>
        <v>1.0000000000000002</v>
      </c>
    </row>
    <row r="60" spans="1:8" ht="14.1" hidden="1" customHeight="1" x14ac:dyDescent="0.2">
      <c r="A60" s="12">
        <f t="shared" si="3"/>
        <v>2009</v>
      </c>
      <c r="B60" s="13" t="s">
        <v>15</v>
      </c>
      <c r="C60" s="219">
        <v>0.63567393407259898</v>
      </c>
      <c r="D60" s="219">
        <v>0.14787353107986412</v>
      </c>
      <c r="E60" s="219">
        <v>8.2450696117257541E-2</v>
      </c>
      <c r="F60" s="219">
        <v>9.0684265886129517E-2</v>
      </c>
      <c r="G60" s="219">
        <v>4.3317572844149839E-2</v>
      </c>
      <c r="H60" s="219">
        <f>SUM(C60:G60)</f>
        <v>1</v>
      </c>
    </row>
    <row r="61" spans="1:8" ht="14.1" hidden="1" customHeight="1" x14ac:dyDescent="0.2">
      <c r="A61" s="10">
        <f t="shared" si="3"/>
        <v>2009</v>
      </c>
      <c r="B61" t="s">
        <v>16</v>
      </c>
      <c r="C61" s="59">
        <v>0.63203828000673312</v>
      </c>
      <c r="D61" s="59">
        <v>0.15488875429020171</v>
      </c>
      <c r="E61" s="59">
        <v>8.2042820799426514E-2</v>
      </c>
      <c r="F61" s="59">
        <v>8.927735052068661E-2</v>
      </c>
      <c r="G61" s="59">
        <v>4.1752794382952048E-2</v>
      </c>
      <c r="H61" s="59">
        <f>SUM(C61:G61)</f>
        <v>1</v>
      </c>
    </row>
    <row r="62" spans="1:8" ht="14.1" hidden="1" customHeight="1" x14ac:dyDescent="0.2">
      <c r="A62" s="10">
        <f t="shared" si="3"/>
        <v>2009</v>
      </c>
      <c r="B62" t="s">
        <v>17</v>
      </c>
      <c r="C62" s="59">
        <v>0.63572805267938604</v>
      </c>
      <c r="D62" s="59">
        <v>0.15153440046703587</v>
      </c>
      <c r="E62" s="59">
        <v>8.2659429121412553E-2</v>
      </c>
      <c r="F62" s="59">
        <v>8.9706441187488745E-2</v>
      </c>
      <c r="G62" s="59">
        <v>4.0371676544676841E-2</v>
      </c>
      <c r="H62" s="59">
        <f>SUM(C62:G62)</f>
        <v>1</v>
      </c>
    </row>
    <row r="63" spans="1:8" ht="14.1" hidden="1" customHeight="1" thickBot="1" x14ac:dyDescent="0.25">
      <c r="A63" s="29">
        <f t="shared" si="3"/>
        <v>2009</v>
      </c>
      <c r="B63" s="30" t="s">
        <v>18</v>
      </c>
      <c r="C63" s="62">
        <v>0.63232543212323489</v>
      </c>
      <c r="D63" s="62">
        <v>0.15072333972522961</v>
      </c>
      <c r="E63" s="62">
        <v>8.221700932964339E-2</v>
      </c>
      <c r="F63" s="62">
        <v>8.8859871067600057E-2</v>
      </c>
      <c r="G63" s="62">
        <v>4.5874347754291972E-2</v>
      </c>
      <c r="H63" s="62">
        <f>SUM(C63:G63)</f>
        <v>0.99999999999999989</v>
      </c>
    </row>
    <row r="64" spans="1:8" ht="14.1" hidden="1" customHeight="1" x14ac:dyDescent="0.2">
      <c r="A64" s="46">
        <v>2010</v>
      </c>
      <c r="B64" s="47" t="s">
        <v>8</v>
      </c>
      <c r="C64" s="48">
        <v>0.63386202698226757</v>
      </c>
      <c r="D64" s="48">
        <v>0.15413772432973435</v>
      </c>
      <c r="E64" s="48">
        <v>8.1781197231177619E-2</v>
      </c>
      <c r="F64" s="48">
        <v>8.829772427417705E-2</v>
      </c>
      <c r="G64" s="48">
        <v>4.1921327182643187E-2</v>
      </c>
      <c r="H64" s="48">
        <f t="shared" ref="H64:H70" si="4">SUM(C64:G64)</f>
        <v>0.99999999999999978</v>
      </c>
    </row>
    <row r="65" spans="1:8" ht="14.1" hidden="1" customHeight="1" x14ac:dyDescent="0.2">
      <c r="A65" s="10">
        <f>A64</f>
        <v>2010</v>
      </c>
      <c r="B65" t="s">
        <v>9</v>
      </c>
      <c r="C65" s="59">
        <v>0.63619543729795003</v>
      </c>
      <c r="D65" s="220">
        <v>0.15212085274151568</v>
      </c>
      <c r="E65" s="220">
        <v>8.1945565152495251E-2</v>
      </c>
      <c r="F65" s="220">
        <v>8.8531313101617257E-2</v>
      </c>
      <c r="G65" s="220">
        <v>4.1206831706421788E-2</v>
      </c>
      <c r="H65" s="220">
        <f t="shared" si="4"/>
        <v>1</v>
      </c>
    </row>
    <row r="66" spans="1:8" ht="14.1" hidden="1" customHeight="1" x14ac:dyDescent="0.2">
      <c r="A66" s="12">
        <f t="shared" ref="A66:A75" si="5">A65</f>
        <v>2010</v>
      </c>
      <c r="B66" s="13" t="s">
        <v>10</v>
      </c>
      <c r="C66" s="60">
        <v>0.63185668399254313</v>
      </c>
      <c r="D66" s="60">
        <v>0.15913341654508409</v>
      </c>
      <c r="E66" s="60">
        <v>8.1590345694349697E-2</v>
      </c>
      <c r="F66" s="60">
        <v>8.8835885793665664E-2</v>
      </c>
      <c r="G66" s="60">
        <v>3.858366797435725E-2</v>
      </c>
      <c r="H66" s="60">
        <f t="shared" si="4"/>
        <v>0.99999999999999978</v>
      </c>
    </row>
    <row r="67" spans="1:8" ht="14.1" hidden="1" customHeight="1" x14ac:dyDescent="0.2">
      <c r="A67" s="17">
        <f t="shared" si="5"/>
        <v>2010</v>
      </c>
      <c r="B67" s="18" t="s">
        <v>11</v>
      </c>
      <c r="C67" s="61">
        <v>0.63444367913081301</v>
      </c>
      <c r="D67" s="61">
        <v>0.15678751662615942</v>
      </c>
      <c r="E67" s="61">
        <v>8.2595489703609484E-2</v>
      </c>
      <c r="F67" s="61">
        <v>8.9167592636617027E-2</v>
      </c>
      <c r="G67" s="61">
        <v>3.7005721902801082E-2</v>
      </c>
      <c r="H67" s="61">
        <f t="shared" si="4"/>
        <v>1</v>
      </c>
    </row>
    <row r="68" spans="1:8" ht="14.1" hidden="1" customHeight="1" x14ac:dyDescent="0.2">
      <c r="A68" s="10">
        <f t="shared" si="5"/>
        <v>2010</v>
      </c>
      <c r="B68" t="s">
        <v>12</v>
      </c>
      <c r="C68" s="59">
        <v>0.63062693278194271</v>
      </c>
      <c r="D68" s="59">
        <v>0.16234264699698137</v>
      </c>
      <c r="E68" s="59">
        <v>8.2571211032216027E-2</v>
      </c>
      <c r="F68" s="59">
        <v>8.890221312386766E-2</v>
      </c>
      <c r="G68" s="59">
        <v>3.5556996064992213E-2</v>
      </c>
      <c r="H68" s="59">
        <f t="shared" si="4"/>
        <v>0.99999999999999989</v>
      </c>
    </row>
    <row r="69" spans="1:8" ht="14.1" hidden="1" customHeight="1" x14ac:dyDescent="0.2">
      <c r="A69" s="12">
        <f t="shared" si="5"/>
        <v>2010</v>
      </c>
      <c r="B69" s="13" t="s">
        <v>13</v>
      </c>
      <c r="C69" s="60">
        <v>0.62798838633068588</v>
      </c>
      <c r="D69" s="60">
        <v>0.1670945553259171</v>
      </c>
      <c r="E69" s="60">
        <v>8.2360198274562424E-2</v>
      </c>
      <c r="F69" s="60">
        <v>8.8980094599757434E-2</v>
      </c>
      <c r="G69" s="60">
        <v>3.3576765469077001E-2</v>
      </c>
      <c r="H69" s="60">
        <f t="shared" si="4"/>
        <v>0.99999999999999978</v>
      </c>
    </row>
    <row r="70" spans="1:8" ht="14.1" hidden="1" customHeight="1" x14ac:dyDescent="0.2">
      <c r="A70" s="17">
        <f t="shared" si="5"/>
        <v>2010</v>
      </c>
      <c r="B70" s="212" t="s">
        <v>30</v>
      </c>
      <c r="C70" s="61">
        <v>0.63175476327844005</v>
      </c>
      <c r="D70" s="61">
        <v>0.16855051421420622</v>
      </c>
      <c r="E70" s="61">
        <v>8.194443950386808E-2</v>
      </c>
      <c r="F70" s="61">
        <v>8.8351887052097941E-2</v>
      </c>
      <c r="G70" s="61">
        <v>2.9398395951387719E-2</v>
      </c>
      <c r="H70" s="61">
        <f t="shared" si="4"/>
        <v>1</v>
      </c>
    </row>
    <row r="71" spans="1:8" ht="14.1" hidden="1" customHeight="1" x14ac:dyDescent="0.2">
      <c r="A71" s="10">
        <f t="shared" si="5"/>
        <v>2010</v>
      </c>
      <c r="B71" t="s">
        <v>14</v>
      </c>
      <c r="C71" s="59">
        <v>0.63092285333482045</v>
      </c>
      <c r="D71" s="59">
        <v>0.16740998949218996</v>
      </c>
      <c r="E71" s="59">
        <v>8.1702922418834603E-2</v>
      </c>
      <c r="F71" s="59">
        <v>8.975530427975062E-2</v>
      </c>
      <c r="G71" s="59">
        <v>3.0208930474404039E-2</v>
      </c>
      <c r="H71" s="59">
        <f>SUM(C71:G71)</f>
        <v>0.99999999999999978</v>
      </c>
    </row>
    <row r="72" spans="1:8" ht="14.1" hidden="1" customHeight="1" x14ac:dyDescent="0.2">
      <c r="A72" s="12">
        <f t="shared" si="5"/>
        <v>2010</v>
      </c>
      <c r="B72" s="13" t="s">
        <v>15</v>
      </c>
      <c r="C72" s="219">
        <v>0.63236270229886815</v>
      </c>
      <c r="D72" s="219">
        <v>0.16514511591215866</v>
      </c>
      <c r="E72" s="219">
        <v>8.1889379237735066E-2</v>
      </c>
      <c r="F72" s="219">
        <v>8.9960137693537889E-2</v>
      </c>
      <c r="G72" s="219">
        <v>3.064266485770013E-2</v>
      </c>
      <c r="H72" s="219">
        <f>SUM(C72:G72)</f>
        <v>0.99999999999999989</v>
      </c>
    </row>
    <row r="73" spans="1:8" ht="14.1" hidden="1" customHeight="1" x14ac:dyDescent="0.2">
      <c r="A73" s="10">
        <f t="shared" si="5"/>
        <v>2010</v>
      </c>
      <c r="B73" t="s">
        <v>16</v>
      </c>
      <c r="C73" s="59">
        <v>0.63451992592189888</v>
      </c>
      <c r="D73" s="59">
        <v>0.16556864874354468</v>
      </c>
      <c r="E73" s="59">
        <v>8.2367911615667255E-2</v>
      </c>
      <c r="F73" s="59">
        <v>8.9382366652338868E-2</v>
      </c>
      <c r="G73" s="59">
        <v>2.8161147066550447E-2</v>
      </c>
      <c r="H73" s="59">
        <f>SUM(C73:G73)</f>
        <v>1.0000000000000002</v>
      </c>
    </row>
    <row r="74" spans="1:8" ht="14.1" hidden="1" customHeight="1" x14ac:dyDescent="0.2">
      <c r="A74" s="10">
        <f t="shared" si="5"/>
        <v>2010</v>
      </c>
      <c r="B74" t="s">
        <v>17</v>
      </c>
      <c r="C74" s="220">
        <v>0.63068122274998295</v>
      </c>
      <c r="D74" s="220">
        <v>0.16903954806345081</v>
      </c>
      <c r="E74" s="220">
        <v>8.2203221202090587E-2</v>
      </c>
      <c r="F74" s="220">
        <v>8.8752335326890266E-2</v>
      </c>
      <c r="G74" s="220">
        <v>2.9323672657585391E-2</v>
      </c>
      <c r="H74" s="220">
        <f>SUM(C74:G74)</f>
        <v>1</v>
      </c>
    </row>
    <row r="75" spans="1:8" ht="14.1" hidden="1" customHeight="1" thickBot="1" x14ac:dyDescent="0.25">
      <c r="A75" s="29">
        <f t="shared" si="5"/>
        <v>2010</v>
      </c>
      <c r="B75" s="30" t="s">
        <v>18</v>
      </c>
      <c r="C75" s="62">
        <v>0.63057982983517369</v>
      </c>
      <c r="D75" s="62">
        <v>0.16465520097592828</v>
      </c>
      <c r="E75" s="62">
        <v>8.2123292945603527E-2</v>
      </c>
      <c r="F75" s="62">
        <v>8.8113150890167469E-2</v>
      </c>
      <c r="G75" s="62">
        <v>3.4528525353127337E-2</v>
      </c>
      <c r="H75" s="62">
        <f>SUM(C75:G75)</f>
        <v>1.0000000000000004</v>
      </c>
    </row>
    <row r="76" spans="1:8" ht="14.1" hidden="1" customHeight="1" x14ac:dyDescent="0.2">
      <c r="A76" s="46">
        <v>2011</v>
      </c>
      <c r="B76" s="47" t="s">
        <v>8</v>
      </c>
      <c r="C76" s="48">
        <v>0.63074833903852934</v>
      </c>
      <c r="D76" s="48">
        <v>0.16766940547587081</v>
      </c>
      <c r="E76" s="48">
        <v>8.1592280953906457E-2</v>
      </c>
      <c r="F76" s="48">
        <v>8.6674730097388866E-2</v>
      </c>
      <c r="G76" s="48">
        <v>3.3315244434304371E-2</v>
      </c>
      <c r="H76" s="48">
        <f t="shared" ref="H76:H82" si="6">SUM(C76:G76)</f>
        <v>0.99999999999999989</v>
      </c>
    </row>
    <row r="77" spans="1:8" ht="14.1" hidden="1" customHeight="1" x14ac:dyDescent="0.2">
      <c r="A77" s="10">
        <f>A76</f>
        <v>2011</v>
      </c>
      <c r="B77" t="s">
        <v>9</v>
      </c>
      <c r="C77" s="59">
        <v>0.62837459570852383</v>
      </c>
      <c r="D77" s="59">
        <v>0.1714610077737328</v>
      </c>
      <c r="E77" s="59">
        <v>8.1351196761909605E-2</v>
      </c>
      <c r="F77" s="59">
        <v>8.6701704239858735E-2</v>
      </c>
      <c r="G77" s="59">
        <v>3.2111495515975134E-2</v>
      </c>
      <c r="H77" s="59">
        <f t="shared" si="6"/>
        <v>1.0000000000000002</v>
      </c>
    </row>
    <row r="78" spans="1:8" ht="14.1" hidden="1" customHeight="1" x14ac:dyDescent="0.2">
      <c r="A78" s="12">
        <f t="shared" ref="A78:A87" si="7">A77</f>
        <v>2011</v>
      </c>
      <c r="B78" s="13" t="s">
        <v>10</v>
      </c>
      <c r="C78" s="60">
        <v>0.62236765834255925</v>
      </c>
      <c r="D78" s="60">
        <v>0.17588699777315647</v>
      </c>
      <c r="E78" s="60">
        <v>8.063886878052251E-2</v>
      </c>
      <c r="F78" s="60">
        <v>8.6572456022442165E-2</v>
      </c>
      <c r="G78" s="60">
        <v>3.4534019081319527E-2</v>
      </c>
      <c r="H78" s="60">
        <f t="shared" si="6"/>
        <v>0.99999999999999989</v>
      </c>
    </row>
    <row r="79" spans="1:8" ht="14.1" hidden="1" customHeight="1" x14ac:dyDescent="0.2">
      <c r="A79" s="17">
        <f t="shared" si="7"/>
        <v>2011</v>
      </c>
      <c r="B79" s="18" t="s">
        <v>11</v>
      </c>
      <c r="C79" s="61">
        <v>0.62008718037125521</v>
      </c>
      <c r="D79" s="61">
        <v>0.17844944693091219</v>
      </c>
      <c r="E79" s="61">
        <v>8.1048494260621565E-2</v>
      </c>
      <c r="F79" s="61">
        <v>8.5533062018262787E-2</v>
      </c>
      <c r="G79" s="61">
        <v>3.4881816418948122E-2</v>
      </c>
      <c r="H79" s="61">
        <f t="shared" si="6"/>
        <v>1</v>
      </c>
    </row>
    <row r="80" spans="1:8" ht="14.1" hidden="1" customHeight="1" x14ac:dyDescent="0.2">
      <c r="A80" s="10">
        <f t="shared" si="7"/>
        <v>2011</v>
      </c>
      <c r="B80" t="s">
        <v>12</v>
      </c>
      <c r="C80" s="59">
        <v>0.61646412078338741</v>
      </c>
      <c r="D80" s="59">
        <v>0.18150933062619778</v>
      </c>
      <c r="E80" s="59">
        <v>8.1026523202400641E-2</v>
      </c>
      <c r="F80" s="59">
        <v>8.5033307483361062E-2</v>
      </c>
      <c r="G80" s="59">
        <v>3.5966717904652924E-2</v>
      </c>
      <c r="H80" s="59">
        <f t="shared" si="6"/>
        <v>0.99999999999999978</v>
      </c>
    </row>
    <row r="81" spans="1:8" ht="14.1" hidden="1" customHeight="1" x14ac:dyDescent="0.2">
      <c r="A81" s="12">
        <f t="shared" si="7"/>
        <v>2011</v>
      </c>
      <c r="B81" s="13" t="s">
        <v>13</v>
      </c>
      <c r="C81" s="60">
        <v>0.61326393213042252</v>
      </c>
      <c r="D81" s="60">
        <v>0.18685438755687794</v>
      </c>
      <c r="E81" s="60">
        <v>8.092678165391369E-2</v>
      </c>
      <c r="F81" s="60">
        <v>8.3990721975758437E-2</v>
      </c>
      <c r="G81" s="60">
        <v>3.4964176683027218E-2</v>
      </c>
      <c r="H81" s="60">
        <f t="shared" si="6"/>
        <v>0.99999999999999978</v>
      </c>
    </row>
    <row r="82" spans="1:8" ht="14.1" hidden="1" customHeight="1" x14ac:dyDescent="0.2">
      <c r="A82" s="17">
        <f t="shared" si="7"/>
        <v>2011</v>
      </c>
      <c r="B82" s="212" t="s">
        <v>30</v>
      </c>
      <c r="C82" s="61">
        <v>0.61989566283332664</v>
      </c>
      <c r="D82" s="61">
        <v>0.18138825243294232</v>
      </c>
      <c r="E82" s="61">
        <v>8.1523354020904049E-2</v>
      </c>
      <c r="F82" s="61">
        <v>8.3784889170737481E-2</v>
      </c>
      <c r="G82" s="61">
        <v>3.340784154208943E-2</v>
      </c>
      <c r="H82" s="61">
        <f t="shared" si="6"/>
        <v>0.99999999999999989</v>
      </c>
    </row>
    <row r="83" spans="1:8" ht="14.1" hidden="1" customHeight="1" x14ac:dyDescent="0.2">
      <c r="A83" s="10">
        <f t="shared" si="7"/>
        <v>2011</v>
      </c>
      <c r="B83" t="s">
        <v>14</v>
      </c>
      <c r="C83" s="59">
        <v>0.61717723468225494</v>
      </c>
      <c r="D83" s="59">
        <v>0.184790074717052</v>
      </c>
      <c r="E83" s="59">
        <v>8.0973056703706303E-2</v>
      </c>
      <c r="F83" s="59">
        <v>8.3331469947683326E-2</v>
      </c>
      <c r="G83" s="59">
        <v>3.3728163949303246E-2</v>
      </c>
      <c r="H83" s="59">
        <f>SUM(C83:G83)</f>
        <v>0.99999999999999989</v>
      </c>
    </row>
    <row r="84" spans="1:8" ht="14.1" hidden="1" customHeight="1" x14ac:dyDescent="0.2">
      <c r="A84" s="12">
        <f t="shared" si="7"/>
        <v>2011</v>
      </c>
      <c r="B84" s="13" t="s">
        <v>15</v>
      </c>
      <c r="C84" s="219">
        <v>0.61751779655572803</v>
      </c>
      <c r="D84" s="219">
        <v>0.1868813177400809</v>
      </c>
      <c r="E84" s="219">
        <v>8.0953438300224514E-2</v>
      </c>
      <c r="F84" s="219">
        <v>8.3119318193495537E-2</v>
      </c>
      <c r="G84" s="219">
        <v>3.1528129210470796E-2</v>
      </c>
      <c r="H84" s="219">
        <f>SUM(C84:G84)</f>
        <v>0.99999999999999967</v>
      </c>
    </row>
    <row r="85" spans="1:8" ht="14.1" hidden="1" customHeight="1" x14ac:dyDescent="0.2">
      <c r="A85" s="10">
        <f t="shared" si="7"/>
        <v>2011</v>
      </c>
      <c r="B85" t="s">
        <v>16</v>
      </c>
      <c r="C85" s="220">
        <v>0.62284029196693758</v>
      </c>
      <c r="D85" s="220">
        <v>0.18364618365111945</v>
      </c>
      <c r="E85" s="220">
        <v>8.1380822162858746E-2</v>
      </c>
      <c r="F85" s="220">
        <v>8.4077131193429439E-2</v>
      </c>
      <c r="G85" s="220">
        <v>2.8055571025654702E-2</v>
      </c>
      <c r="H85" s="220">
        <f>SUM(C85:G85)</f>
        <v>0.99999999999999978</v>
      </c>
    </row>
    <row r="86" spans="1:8" ht="14.1" hidden="1" customHeight="1" x14ac:dyDescent="0.2">
      <c r="A86" s="10">
        <f t="shared" si="7"/>
        <v>2011</v>
      </c>
      <c r="B86" t="s">
        <v>17</v>
      </c>
      <c r="C86" s="59">
        <v>0.62208975796637833</v>
      </c>
      <c r="D86" s="59">
        <v>0.18697576162229568</v>
      </c>
      <c r="E86" s="59">
        <v>8.1541002230663101E-2</v>
      </c>
      <c r="F86" s="59">
        <v>8.3716632085418019E-2</v>
      </c>
      <c r="G86" s="59">
        <v>2.567684609524477E-2</v>
      </c>
      <c r="H86" s="59">
        <f>SUM(C86:G86)</f>
        <v>0.99999999999999989</v>
      </c>
    </row>
    <row r="87" spans="1:8" ht="14.1" hidden="1" customHeight="1" thickBot="1" x14ac:dyDescent="0.25">
      <c r="A87" s="29">
        <f t="shared" si="7"/>
        <v>2011</v>
      </c>
      <c r="B87" s="30" t="s">
        <v>18</v>
      </c>
      <c r="C87" s="62">
        <v>0.61794212442492802</v>
      </c>
      <c r="D87" s="62">
        <v>0.1871620709520937</v>
      </c>
      <c r="E87" s="62">
        <v>8.1125609081708461E-2</v>
      </c>
      <c r="F87" s="62">
        <v>8.418829789006449E-2</v>
      </c>
      <c r="G87" s="62">
        <v>2.9581897651205422E-2</v>
      </c>
      <c r="H87" s="62">
        <f>SUM(C87:G87)</f>
        <v>1.0000000000000002</v>
      </c>
    </row>
    <row r="88" spans="1:8" ht="15" hidden="1" customHeight="1" x14ac:dyDescent="0.2">
      <c r="A88" s="46">
        <v>2012</v>
      </c>
      <c r="B88" s="47" t="s">
        <v>8</v>
      </c>
      <c r="C88" s="48">
        <v>0.61886439382863734</v>
      </c>
      <c r="D88" s="48">
        <v>0.19084628270252729</v>
      </c>
      <c r="E88" s="48">
        <v>8.0847826170421286E-2</v>
      </c>
      <c r="F88" s="48">
        <v>8.3538441277316342E-2</v>
      </c>
      <c r="G88" s="48">
        <v>2.5903056021097735E-2</v>
      </c>
      <c r="H88" s="48">
        <f t="shared" ref="H88:H94" si="8">SUM(C88:G88)</f>
        <v>1</v>
      </c>
    </row>
    <row r="89" spans="1:8" ht="15" hidden="1" customHeight="1" x14ac:dyDescent="0.2">
      <c r="A89" s="10">
        <f>A88</f>
        <v>2012</v>
      </c>
      <c r="B89" t="s">
        <v>9</v>
      </c>
      <c r="C89" s="59">
        <v>0.62384258931639425</v>
      </c>
      <c r="D89" s="59">
        <v>0.18794871304713759</v>
      </c>
      <c r="E89" s="59">
        <v>8.1498172655774248E-2</v>
      </c>
      <c r="F89" s="59">
        <v>8.4814399546491046E-2</v>
      </c>
      <c r="G89" s="59">
        <v>2.1896125434202843E-2</v>
      </c>
      <c r="H89" s="59">
        <f t="shared" si="8"/>
        <v>1</v>
      </c>
    </row>
    <row r="90" spans="1:8" ht="15" hidden="1" customHeight="1" x14ac:dyDescent="0.2">
      <c r="A90" s="12">
        <f t="shared" ref="A90:A99" si="9">A89</f>
        <v>2012</v>
      </c>
      <c r="B90" s="13" t="s">
        <v>10</v>
      </c>
      <c r="C90" s="60">
        <v>0.61884311096231148</v>
      </c>
      <c r="D90" s="60">
        <v>0.19226881874359908</v>
      </c>
      <c r="E90" s="60">
        <v>8.1100884550551242E-2</v>
      </c>
      <c r="F90" s="60">
        <v>8.49050039212636E-2</v>
      </c>
      <c r="G90" s="60">
        <v>2.2882181822274566E-2</v>
      </c>
      <c r="H90" s="60">
        <f t="shared" si="8"/>
        <v>0.99999999999999989</v>
      </c>
    </row>
    <row r="91" spans="1:8" hidden="1" x14ac:dyDescent="0.2">
      <c r="A91" s="17">
        <f t="shared" si="9"/>
        <v>2012</v>
      </c>
      <c r="B91" s="18" t="s">
        <v>11</v>
      </c>
      <c r="C91" s="61">
        <v>0.61742294049348689</v>
      </c>
      <c r="D91" s="61">
        <v>0.19340368473055353</v>
      </c>
      <c r="E91" s="61">
        <v>8.1398930583446716E-2</v>
      </c>
      <c r="F91" s="61">
        <v>8.4748972292622501E-2</v>
      </c>
      <c r="G91" s="61">
        <v>2.3025471899890515E-2</v>
      </c>
      <c r="H91" s="61">
        <f t="shared" si="8"/>
        <v>1</v>
      </c>
    </row>
    <row r="92" spans="1:8" hidden="1" x14ac:dyDescent="0.2">
      <c r="A92" s="10">
        <f t="shared" si="9"/>
        <v>2012</v>
      </c>
      <c r="B92" t="s">
        <v>12</v>
      </c>
      <c r="C92" s="59">
        <v>0.61584738343879686</v>
      </c>
      <c r="D92" s="59">
        <v>0.19627928686749202</v>
      </c>
      <c r="E92" s="59">
        <v>8.1570612724152544E-2</v>
      </c>
      <c r="F92" s="59">
        <v>8.4025003555901451E-2</v>
      </c>
      <c r="G92" s="59">
        <v>2.2277713413657134E-2</v>
      </c>
      <c r="H92" s="59">
        <f t="shared" si="8"/>
        <v>1</v>
      </c>
    </row>
    <row r="93" spans="1:8" hidden="1" x14ac:dyDescent="0.2">
      <c r="A93" s="12">
        <f t="shared" si="9"/>
        <v>2012</v>
      </c>
      <c r="B93" s="13" t="s">
        <v>13</v>
      </c>
      <c r="C93" s="60">
        <v>0.61812090162755817</v>
      </c>
      <c r="D93" s="60">
        <v>0.19438589744233437</v>
      </c>
      <c r="E93" s="60">
        <v>8.1871746213851279E-2</v>
      </c>
      <c r="F93" s="60">
        <v>8.4759846427122809E-2</v>
      </c>
      <c r="G93" s="60">
        <v>2.0861608289133492E-2</v>
      </c>
      <c r="H93" s="60">
        <f t="shared" si="8"/>
        <v>1.0000000000000002</v>
      </c>
    </row>
    <row r="94" spans="1:8" hidden="1" x14ac:dyDescent="0.2">
      <c r="A94" s="17">
        <f t="shared" si="9"/>
        <v>2012</v>
      </c>
      <c r="B94" s="212" t="s">
        <v>30</v>
      </c>
      <c r="C94" s="61">
        <v>0.62418458151484035</v>
      </c>
      <c r="D94" s="61">
        <v>0.19055558132770262</v>
      </c>
      <c r="E94" s="61">
        <v>8.2337723318234829E-2</v>
      </c>
      <c r="F94" s="61">
        <v>8.5071435122174729E-2</v>
      </c>
      <c r="G94" s="61">
        <v>1.7850678717047472E-2</v>
      </c>
      <c r="H94" s="61">
        <f t="shared" si="8"/>
        <v>1</v>
      </c>
    </row>
    <row r="95" spans="1:8" hidden="1" x14ac:dyDescent="0.2">
      <c r="A95" s="10">
        <f t="shared" si="9"/>
        <v>2012</v>
      </c>
      <c r="B95" t="s">
        <v>14</v>
      </c>
      <c r="C95" s="59">
        <v>0.62650059438472649</v>
      </c>
      <c r="D95" s="59">
        <v>0.18531664196696432</v>
      </c>
      <c r="E95" s="59">
        <v>8.2515105226709892E-2</v>
      </c>
      <c r="F95" s="59">
        <v>8.6587309540730684E-2</v>
      </c>
      <c r="G95" s="59">
        <v>1.9080348880868622E-2</v>
      </c>
      <c r="H95" s="59">
        <f>SUM(C95:G95)</f>
        <v>1</v>
      </c>
    </row>
    <row r="96" spans="1:8" hidden="1" x14ac:dyDescent="0.2">
      <c r="A96" s="12">
        <f t="shared" si="9"/>
        <v>2012</v>
      </c>
      <c r="B96" s="13" t="s">
        <v>15</v>
      </c>
      <c r="C96" s="219">
        <v>0.6230261445603491</v>
      </c>
      <c r="D96" s="219">
        <v>0.19206342948239749</v>
      </c>
      <c r="E96" s="219">
        <v>8.2057492583668457E-2</v>
      </c>
      <c r="F96" s="219">
        <v>8.6192367816195395E-2</v>
      </c>
      <c r="G96" s="219">
        <v>1.6660565557389616E-2</v>
      </c>
      <c r="H96" s="219">
        <f>SUM(C96:G96)</f>
        <v>1.0000000000000002</v>
      </c>
    </row>
    <row r="97" spans="1:8" hidden="1" x14ac:dyDescent="0.2">
      <c r="A97" s="10">
        <f t="shared" si="9"/>
        <v>2012</v>
      </c>
      <c r="B97" t="s">
        <v>16</v>
      </c>
      <c r="C97" s="59">
        <v>0.61941861263554587</v>
      </c>
      <c r="D97" s="59">
        <v>0.19596607753928369</v>
      </c>
      <c r="E97" s="59">
        <v>8.1702430391611416E-2</v>
      </c>
      <c r="F97" s="59">
        <v>8.6146079341875584E-2</v>
      </c>
      <c r="G97" s="59">
        <v>1.6766800091683496E-2</v>
      </c>
      <c r="H97" s="59">
        <f>SUM(C97:G97)</f>
        <v>1</v>
      </c>
    </row>
    <row r="98" spans="1:8" hidden="1" x14ac:dyDescent="0.2">
      <c r="A98" s="10">
        <f t="shared" si="9"/>
        <v>2012</v>
      </c>
      <c r="B98" t="s">
        <v>17</v>
      </c>
      <c r="C98" s="59">
        <v>0.61880764737463123</v>
      </c>
      <c r="D98" s="59">
        <v>0.1959899492356221</v>
      </c>
      <c r="E98" s="59">
        <v>8.1811367376723038E-2</v>
      </c>
      <c r="F98" s="59">
        <v>8.5722951319478241E-2</v>
      </c>
      <c r="G98" s="59">
        <v>1.7668084693545239E-2</v>
      </c>
      <c r="H98" s="59">
        <f>SUM(C98:G98)</f>
        <v>0.99999999999999978</v>
      </c>
    </row>
    <row r="99" spans="1:8" hidden="1" x14ac:dyDescent="0.2">
      <c r="A99" s="10">
        <f t="shared" si="9"/>
        <v>2012</v>
      </c>
      <c r="B99" t="s">
        <v>18</v>
      </c>
      <c r="C99" s="59">
        <v>0.61839491063938057</v>
      </c>
      <c r="D99" s="59">
        <v>0.19585922646234571</v>
      </c>
      <c r="E99" s="59">
        <v>8.1693667583508545E-2</v>
      </c>
      <c r="F99" s="59">
        <v>8.4905428097121802E-2</v>
      </c>
      <c r="G99" s="59">
        <v>1.9146767217643409E-2</v>
      </c>
      <c r="H99" s="59">
        <f>SUM(C99:G99)</f>
        <v>0.99999999999999989</v>
      </c>
    </row>
    <row r="100" spans="1:8" hidden="1" x14ac:dyDescent="0.2">
      <c r="A100" s="46">
        <v>2013</v>
      </c>
      <c r="B100" s="47" t="s">
        <v>8</v>
      </c>
      <c r="C100" s="48">
        <v>0.62673974944776323</v>
      </c>
      <c r="D100" s="48">
        <v>0.1899563927971917</v>
      </c>
      <c r="E100" s="48">
        <v>8.1705241523744504E-2</v>
      </c>
      <c r="F100" s="48">
        <v>8.4729450826740646E-2</v>
      </c>
      <c r="G100" s="48">
        <v>1.6869165404559825E-2</v>
      </c>
      <c r="H100" s="48">
        <f t="shared" ref="H100:H106" si="10">SUM(C100:G100)</f>
        <v>0.99999999999999989</v>
      </c>
    </row>
    <row r="101" spans="1:8" hidden="1" x14ac:dyDescent="0.2">
      <c r="A101" s="10">
        <f>A100</f>
        <v>2013</v>
      </c>
      <c r="B101" t="s">
        <v>9</v>
      </c>
      <c r="C101" s="59">
        <v>0.62985944705320673</v>
      </c>
      <c r="D101" s="59">
        <v>0.18609936689631509</v>
      </c>
      <c r="E101" s="59">
        <v>8.1857922535208821E-2</v>
      </c>
      <c r="F101" s="59">
        <v>8.5576111469102212E-2</v>
      </c>
      <c r="G101" s="59">
        <v>1.6607152046167042E-2</v>
      </c>
      <c r="H101" s="59">
        <f t="shared" si="10"/>
        <v>1</v>
      </c>
    </row>
    <row r="102" spans="1:8" hidden="1" x14ac:dyDescent="0.2">
      <c r="A102" s="12">
        <f t="shared" ref="A102:A111" si="11">A101</f>
        <v>2013</v>
      </c>
      <c r="B102" s="13" t="s">
        <v>10</v>
      </c>
      <c r="C102" s="60">
        <v>0.62847630806785393</v>
      </c>
      <c r="D102" s="60">
        <v>0.18634415926457176</v>
      </c>
      <c r="E102" s="60">
        <v>8.136133909848281E-2</v>
      </c>
      <c r="F102" s="60">
        <v>8.4370655185051574E-2</v>
      </c>
      <c r="G102" s="60">
        <v>1.9447538384040085E-2</v>
      </c>
      <c r="H102" s="60">
        <f t="shared" si="10"/>
        <v>1.0000000000000002</v>
      </c>
    </row>
    <row r="103" spans="1:8" hidden="1" x14ac:dyDescent="0.2">
      <c r="A103" s="17">
        <f t="shared" si="11"/>
        <v>2013</v>
      </c>
      <c r="B103" s="18" t="s">
        <v>11</v>
      </c>
      <c r="C103" s="61">
        <v>0.62767780186341648</v>
      </c>
      <c r="D103" s="61">
        <v>0.1888849777138025</v>
      </c>
      <c r="E103" s="61">
        <v>8.1808499646859531E-2</v>
      </c>
      <c r="F103" s="61">
        <v>8.4015658681486333E-2</v>
      </c>
      <c r="G103" s="61">
        <v>1.7613062094435129E-2</v>
      </c>
      <c r="H103" s="61">
        <f t="shared" si="10"/>
        <v>1</v>
      </c>
    </row>
    <row r="104" spans="1:8" hidden="1" x14ac:dyDescent="0.2">
      <c r="A104" s="10">
        <f t="shared" si="11"/>
        <v>2013</v>
      </c>
      <c r="B104" t="s">
        <v>12</v>
      </c>
      <c r="C104" s="59">
        <v>0.63058930350879339</v>
      </c>
      <c r="D104" s="59">
        <v>0.18606377469315097</v>
      </c>
      <c r="E104" s="59">
        <v>8.2357897312013428E-2</v>
      </c>
      <c r="F104" s="59">
        <v>8.432837309042901E-2</v>
      </c>
      <c r="G104" s="59">
        <v>1.6660651395613135E-2</v>
      </c>
      <c r="H104" s="59">
        <f t="shared" si="10"/>
        <v>0.99999999999999978</v>
      </c>
    </row>
    <row r="105" spans="1:8" hidden="1" x14ac:dyDescent="0.2">
      <c r="A105" s="12">
        <f t="shared" si="11"/>
        <v>2013</v>
      </c>
      <c r="B105" s="13" t="s">
        <v>13</v>
      </c>
      <c r="C105" s="60">
        <v>0.63568073933128288</v>
      </c>
      <c r="D105" s="60">
        <v>0.18022128589475675</v>
      </c>
      <c r="E105" s="60">
        <v>8.2915344981440847E-2</v>
      </c>
      <c r="F105" s="60">
        <v>8.5777403958794254E-2</v>
      </c>
      <c r="G105" s="60">
        <v>1.540522583372525E-2</v>
      </c>
      <c r="H105" s="60">
        <f t="shared" si="10"/>
        <v>1</v>
      </c>
    </row>
    <row r="106" spans="1:8" hidden="1" x14ac:dyDescent="0.2">
      <c r="A106" s="17">
        <f t="shared" si="11"/>
        <v>2013</v>
      </c>
      <c r="B106" s="212" t="s">
        <v>30</v>
      </c>
      <c r="C106" s="61">
        <v>0.63533334665443986</v>
      </c>
      <c r="D106" s="61">
        <v>0.18096196160667405</v>
      </c>
      <c r="E106" s="61">
        <v>8.2666466073506931E-2</v>
      </c>
      <c r="F106" s="61">
        <v>8.511408406716954E-2</v>
      </c>
      <c r="G106" s="61">
        <v>1.5924141598209735E-2</v>
      </c>
      <c r="H106" s="61">
        <f t="shared" si="10"/>
        <v>1.0000000000000002</v>
      </c>
    </row>
    <row r="107" spans="1:8" hidden="1" x14ac:dyDescent="0.2">
      <c r="A107" s="10">
        <f t="shared" si="11"/>
        <v>2013</v>
      </c>
      <c r="B107" t="s">
        <v>14</v>
      </c>
      <c r="C107" s="59">
        <v>0.63427935963360171</v>
      </c>
      <c r="D107" s="59">
        <v>0.18022563684893186</v>
      </c>
      <c r="E107" s="59">
        <v>8.2465891139147179E-2</v>
      </c>
      <c r="F107" s="59">
        <v>8.5057771950825645E-2</v>
      </c>
      <c r="G107" s="59">
        <v>1.7971340427493394E-2</v>
      </c>
      <c r="H107" s="59">
        <f>SUM(C107:G107)</f>
        <v>0.99999999999999978</v>
      </c>
    </row>
    <row r="108" spans="1:8" hidden="1" x14ac:dyDescent="0.2">
      <c r="A108" s="12">
        <f t="shared" si="11"/>
        <v>2013</v>
      </c>
      <c r="B108" s="13" t="s">
        <v>15</v>
      </c>
      <c r="C108" s="219">
        <v>0.63186416118919031</v>
      </c>
      <c r="D108" s="219">
        <v>0.18399256143363604</v>
      </c>
      <c r="E108" s="219">
        <v>8.1899103872230886E-2</v>
      </c>
      <c r="F108" s="219">
        <v>8.4226501809897603E-2</v>
      </c>
      <c r="G108" s="219">
        <v>1.8017671695044972E-2</v>
      </c>
      <c r="H108" s="219">
        <f>SUM(C108:G108)</f>
        <v>0.99999999999999989</v>
      </c>
    </row>
    <row r="109" spans="1:8" hidden="1" x14ac:dyDescent="0.2">
      <c r="A109" s="10">
        <f t="shared" si="11"/>
        <v>2013</v>
      </c>
      <c r="B109" t="s">
        <v>16</v>
      </c>
      <c r="C109" s="59">
        <v>0.63199261584854438</v>
      </c>
      <c r="D109" s="59">
        <v>0.18271916911286504</v>
      </c>
      <c r="E109" s="59">
        <v>8.1781261672170286E-2</v>
      </c>
      <c r="F109" s="59">
        <v>8.4040464748115676E-2</v>
      </c>
      <c r="G109" s="59">
        <v>1.9466488618304741E-2</v>
      </c>
      <c r="H109" s="59">
        <f>SUM(C109:G109)</f>
        <v>1</v>
      </c>
    </row>
    <row r="110" spans="1:8" hidden="1" x14ac:dyDescent="0.2">
      <c r="A110" s="10">
        <f t="shared" si="11"/>
        <v>2013</v>
      </c>
      <c r="B110" t="s">
        <v>17</v>
      </c>
      <c r="C110" s="59">
        <v>0.62915646341605469</v>
      </c>
      <c r="D110" s="59">
        <v>0.1871857048026204</v>
      </c>
      <c r="E110" s="59">
        <v>8.1665342020882284E-2</v>
      </c>
      <c r="F110" s="59">
        <v>8.3411323826689004E-2</v>
      </c>
      <c r="G110" s="59">
        <v>1.8581165933753675E-2</v>
      </c>
      <c r="H110" s="59">
        <f>SUM(C110:G110)</f>
        <v>1</v>
      </c>
    </row>
    <row r="111" spans="1:8" hidden="1" x14ac:dyDescent="0.2">
      <c r="A111" s="10">
        <f t="shared" si="11"/>
        <v>2013</v>
      </c>
      <c r="B111" t="s">
        <v>18</v>
      </c>
      <c r="C111" s="59">
        <v>0.63164359856144892</v>
      </c>
      <c r="D111" s="59">
        <v>0.18315983518168116</v>
      </c>
      <c r="E111" s="59">
        <v>8.2114214157683774E-2</v>
      </c>
      <c r="F111" s="59">
        <v>8.3741059348894101E-2</v>
      </c>
      <c r="G111" s="59">
        <v>1.934129275029212E-2</v>
      </c>
      <c r="H111" s="59">
        <f>SUM(C111:G111)</f>
        <v>1</v>
      </c>
    </row>
    <row r="112" spans="1:8" hidden="1" x14ac:dyDescent="0.2">
      <c r="A112" s="46">
        <v>2014</v>
      </c>
      <c r="B112" s="47" t="s">
        <v>8</v>
      </c>
      <c r="C112" s="48">
        <v>0.63535495015292309</v>
      </c>
      <c r="D112" s="48">
        <v>0.18165600732184931</v>
      </c>
      <c r="E112" s="48">
        <v>8.2274250458235512E-2</v>
      </c>
      <c r="F112" s="48">
        <v>8.3589747155755817E-2</v>
      </c>
      <c r="G112" s="48">
        <v>1.7125044911236138E-2</v>
      </c>
      <c r="H112" s="48">
        <f t="shared" ref="H112:H118" si="12">SUM(C112:G112)</f>
        <v>0.99999999999999989</v>
      </c>
    </row>
    <row r="113" spans="1:8" hidden="1" x14ac:dyDescent="0.2">
      <c r="A113" s="10">
        <f>A112</f>
        <v>2014</v>
      </c>
      <c r="B113" t="s">
        <v>9</v>
      </c>
      <c r="C113" s="59">
        <v>0.63397283730216636</v>
      </c>
      <c r="D113" s="59">
        <v>0.18212915921559011</v>
      </c>
      <c r="E113" s="59">
        <v>8.2032125802076611E-2</v>
      </c>
      <c r="F113" s="59">
        <v>8.3745937041720786E-2</v>
      </c>
      <c r="G113" s="59">
        <v>1.8119940638445832E-2</v>
      </c>
      <c r="H113" s="59">
        <f t="shared" si="12"/>
        <v>0.99999999999999978</v>
      </c>
    </row>
    <row r="114" spans="1:8" hidden="1" x14ac:dyDescent="0.2">
      <c r="A114" s="12">
        <f t="shared" ref="A114:A123" si="13">A113</f>
        <v>2014</v>
      </c>
      <c r="B114" s="13" t="s">
        <v>10</v>
      </c>
      <c r="C114" s="60">
        <v>0.63549448116488638</v>
      </c>
      <c r="D114" s="60">
        <v>0.18115190129740832</v>
      </c>
      <c r="E114" s="60">
        <v>8.2102413447421627E-2</v>
      </c>
      <c r="F114" s="60">
        <v>8.3777523044971713E-2</v>
      </c>
      <c r="G114" s="60">
        <v>1.7473681045311801E-2</v>
      </c>
      <c r="H114" s="60">
        <f t="shared" si="12"/>
        <v>0.99999999999999978</v>
      </c>
    </row>
    <row r="115" spans="1:8" hidden="1" x14ac:dyDescent="0.2">
      <c r="A115" s="10">
        <f t="shared" si="13"/>
        <v>2014</v>
      </c>
      <c r="B115" t="s">
        <v>11</v>
      </c>
      <c r="C115" s="59">
        <v>0.63583831017228321</v>
      </c>
      <c r="D115" s="59">
        <v>0.18139288166696488</v>
      </c>
      <c r="E115" s="59">
        <v>8.2386255617299287E-2</v>
      </c>
      <c r="F115" s="59">
        <v>8.3656659610081119E-2</v>
      </c>
      <c r="G115" s="59">
        <v>1.6725892933371355E-2</v>
      </c>
      <c r="H115" s="59">
        <f t="shared" si="12"/>
        <v>0.99999999999999978</v>
      </c>
    </row>
    <row r="116" spans="1:8" hidden="1" x14ac:dyDescent="0.2">
      <c r="A116" s="10">
        <f t="shared" si="13"/>
        <v>2014</v>
      </c>
      <c r="B116" t="s">
        <v>12</v>
      </c>
      <c r="C116" s="59">
        <v>0.63679966276365774</v>
      </c>
      <c r="D116" s="59">
        <v>0.18068984889196468</v>
      </c>
      <c r="E116" s="59">
        <v>8.257399737825101E-2</v>
      </c>
      <c r="F116" s="59">
        <v>8.3529511762492945E-2</v>
      </c>
      <c r="G116" s="59">
        <v>1.6406979203633584E-2</v>
      </c>
      <c r="H116" s="59">
        <f t="shared" si="12"/>
        <v>0.99999999999999989</v>
      </c>
    </row>
    <row r="117" spans="1:8" hidden="1" x14ac:dyDescent="0.2">
      <c r="A117" s="12">
        <f t="shared" si="13"/>
        <v>2014</v>
      </c>
      <c r="B117" s="13" t="s">
        <v>13</v>
      </c>
      <c r="C117" s="60">
        <v>0.63768886429755045</v>
      </c>
      <c r="D117" s="60">
        <v>0.1799635034639471</v>
      </c>
      <c r="E117" s="60">
        <v>8.2815833376520903E-2</v>
      </c>
      <c r="F117" s="60">
        <v>8.3561486931714807E-2</v>
      </c>
      <c r="G117" s="60">
        <v>1.5970311930266937E-2</v>
      </c>
      <c r="H117" s="60">
        <f t="shared" si="12"/>
        <v>1.0000000000000002</v>
      </c>
    </row>
    <row r="118" spans="1:8" hidden="1" x14ac:dyDescent="0.2">
      <c r="A118" s="10">
        <f t="shared" si="13"/>
        <v>2014</v>
      </c>
      <c r="B118" t="s">
        <v>30</v>
      </c>
      <c r="C118" s="59">
        <v>0.63945943569208796</v>
      </c>
      <c r="D118" s="59">
        <v>0.17905242702047303</v>
      </c>
      <c r="E118" s="59">
        <v>8.2783810729801385E-2</v>
      </c>
      <c r="F118" s="59">
        <v>8.3762424305075231E-2</v>
      </c>
      <c r="G118" s="59">
        <v>1.4941902252562457E-2</v>
      </c>
      <c r="H118" s="59">
        <f t="shared" si="12"/>
        <v>0.99999999999999989</v>
      </c>
    </row>
    <row r="119" spans="1:8" hidden="1" x14ac:dyDescent="0.2">
      <c r="A119" s="10">
        <f t="shared" si="13"/>
        <v>2014</v>
      </c>
      <c r="B119" t="s">
        <v>14</v>
      </c>
      <c r="C119" s="59">
        <v>0.63820008039494114</v>
      </c>
      <c r="D119" s="59">
        <v>0.18076255597704977</v>
      </c>
      <c r="E119" s="59">
        <v>8.2557610059340758E-2</v>
      </c>
      <c r="F119" s="59">
        <v>8.3681989339780438E-2</v>
      </c>
      <c r="G119" s="59">
        <v>1.4797764228887842E-2</v>
      </c>
      <c r="H119" s="59">
        <f>SUM(C119:G119)</f>
        <v>0.99999999999999989</v>
      </c>
    </row>
    <row r="120" spans="1:8" hidden="1" x14ac:dyDescent="0.2">
      <c r="A120" s="12">
        <f t="shared" si="13"/>
        <v>2014</v>
      </c>
      <c r="B120" s="13" t="s">
        <v>15</v>
      </c>
      <c r="C120" s="60">
        <v>0.63933172262948534</v>
      </c>
      <c r="D120" s="60">
        <v>0.17934294242705881</v>
      </c>
      <c r="E120" s="60">
        <v>8.2640721648510301E-2</v>
      </c>
      <c r="F120" s="60">
        <v>8.374569524433749E-2</v>
      </c>
      <c r="G120" s="60">
        <v>1.493891805060801E-2</v>
      </c>
      <c r="H120" s="60">
        <f>SUM(C120:G120)</f>
        <v>1</v>
      </c>
    </row>
    <row r="121" spans="1:8" hidden="1" x14ac:dyDescent="0.2">
      <c r="A121" s="10">
        <f t="shared" si="13"/>
        <v>2014</v>
      </c>
      <c r="B121" t="s">
        <v>16</v>
      </c>
      <c r="C121" s="59">
        <v>0.64063912184651284</v>
      </c>
      <c r="D121" s="59">
        <v>0.17943018186484036</v>
      </c>
      <c r="E121" s="59">
        <v>8.2354535872584927E-2</v>
      </c>
      <c r="F121" s="59">
        <v>8.3583682445755272E-2</v>
      </c>
      <c r="G121" s="59">
        <v>1.3992477970306581E-2</v>
      </c>
      <c r="H121" s="59">
        <f>SUM(C121:G121)</f>
        <v>1</v>
      </c>
    </row>
    <row r="122" spans="1:8" hidden="1" x14ac:dyDescent="0.2">
      <c r="A122" s="10">
        <f t="shared" si="13"/>
        <v>2014</v>
      </c>
      <c r="B122" t="s">
        <v>17</v>
      </c>
      <c r="C122" s="59">
        <v>0.64185199161971029</v>
      </c>
      <c r="D122" s="59">
        <v>0.17792106931915311</v>
      </c>
      <c r="E122" s="59">
        <v>8.2763550538147074E-2</v>
      </c>
      <c r="F122" s="59">
        <v>8.3904058056816264E-2</v>
      </c>
      <c r="G122" s="59">
        <v>1.3559330466173407E-2</v>
      </c>
      <c r="H122" s="59">
        <f>SUM(C122:G122)</f>
        <v>1</v>
      </c>
    </row>
    <row r="123" spans="1:8" ht="13.5" hidden="1" thickBot="1" x14ac:dyDescent="0.25">
      <c r="A123" s="29">
        <f t="shared" si="13"/>
        <v>2014</v>
      </c>
      <c r="B123" s="30" t="s">
        <v>18</v>
      </c>
      <c r="C123" s="62">
        <v>0.64473628488000811</v>
      </c>
      <c r="D123" s="62">
        <v>0.17358620045604584</v>
      </c>
      <c r="E123" s="62">
        <v>8.319902471197263E-2</v>
      </c>
      <c r="F123" s="62">
        <v>8.4281098110169095E-2</v>
      </c>
      <c r="G123" s="62">
        <v>1.419739184180443E-2</v>
      </c>
      <c r="H123" s="62">
        <f>SUM(C123:G123)</f>
        <v>1</v>
      </c>
    </row>
    <row r="124" spans="1:8" hidden="1" x14ac:dyDescent="0.2">
      <c r="A124" s="46">
        <v>2015</v>
      </c>
      <c r="B124" t="s">
        <v>8</v>
      </c>
      <c r="C124" s="59">
        <v>0.64673045313552091</v>
      </c>
      <c r="D124" s="59">
        <v>0.1727478368420674</v>
      </c>
      <c r="E124" s="59">
        <v>8.292054898413459E-2</v>
      </c>
      <c r="F124" s="48">
        <v>8.4110608981765991E-2</v>
      </c>
      <c r="G124" s="59">
        <v>1.3490552056511106E-2</v>
      </c>
      <c r="H124" s="59">
        <f t="shared" ref="H124:H159" si="14">SUM(C124:G124)</f>
        <v>1</v>
      </c>
    </row>
    <row r="125" spans="1:8" hidden="1" x14ac:dyDescent="0.2">
      <c r="A125" s="10">
        <f>A124</f>
        <v>2015</v>
      </c>
      <c r="B125" t="s">
        <v>9</v>
      </c>
      <c r="C125" s="59">
        <v>0.65568602342358484</v>
      </c>
      <c r="D125" s="59">
        <v>0.16197403254547038</v>
      </c>
      <c r="E125" s="59">
        <v>8.387567388246317E-2</v>
      </c>
      <c r="F125" s="59">
        <v>8.5605211991969341E-2</v>
      </c>
      <c r="G125" s="59">
        <v>1.285905815651224E-2</v>
      </c>
      <c r="H125" s="59">
        <f t="shared" si="14"/>
        <v>1</v>
      </c>
    </row>
    <row r="126" spans="1:8" hidden="1" x14ac:dyDescent="0.2">
      <c r="A126" s="12">
        <f t="shared" ref="A126:A135" si="15">A125</f>
        <v>2015</v>
      </c>
      <c r="B126" s="13" t="s">
        <v>10</v>
      </c>
      <c r="C126" s="60">
        <v>0.66236164285808263</v>
      </c>
      <c r="D126" s="60">
        <v>0.15624665826297077</v>
      </c>
      <c r="E126" s="60">
        <v>8.4274436356898463E-2</v>
      </c>
      <c r="F126" s="60">
        <v>8.6843370991597765E-2</v>
      </c>
      <c r="G126" s="60">
        <v>1.0273891530450423E-2</v>
      </c>
      <c r="H126" s="60">
        <f t="shared" si="14"/>
        <v>1</v>
      </c>
    </row>
    <row r="127" spans="1:8" hidden="1" x14ac:dyDescent="0.2">
      <c r="A127" s="10">
        <f t="shared" si="15"/>
        <v>2015</v>
      </c>
      <c r="B127" t="s">
        <v>11</v>
      </c>
      <c r="C127" s="59">
        <v>0.65684408601781064</v>
      </c>
      <c r="D127" s="59">
        <v>0.16352744383496018</v>
      </c>
      <c r="E127" s="59">
        <v>8.4093518720260413E-2</v>
      </c>
      <c r="F127" s="59">
        <v>8.5968263670224421E-2</v>
      </c>
      <c r="G127" s="59">
        <v>9.5666877567443867E-3</v>
      </c>
      <c r="H127" s="59">
        <f t="shared" si="14"/>
        <v>1</v>
      </c>
    </row>
    <row r="128" spans="1:8" hidden="1" x14ac:dyDescent="0.2">
      <c r="A128" s="10">
        <f t="shared" si="15"/>
        <v>2015</v>
      </c>
      <c r="B128" t="s">
        <v>12</v>
      </c>
      <c r="C128" s="59">
        <v>0.65554554002440435</v>
      </c>
      <c r="D128" s="59">
        <v>0.16430614495045315</v>
      </c>
      <c r="E128" s="59">
        <v>8.4311963654838964E-2</v>
      </c>
      <c r="F128" s="59">
        <v>8.6055703889861793E-2</v>
      </c>
      <c r="G128" s="59">
        <v>9.7806474804415372E-3</v>
      </c>
      <c r="H128" s="59">
        <f t="shared" si="14"/>
        <v>0.99999999999999978</v>
      </c>
    </row>
    <row r="129" spans="1:8" hidden="1" x14ac:dyDescent="0.2">
      <c r="A129" s="12">
        <f t="shared" si="15"/>
        <v>2015</v>
      </c>
      <c r="B129" s="13" t="s">
        <v>13</v>
      </c>
      <c r="C129" s="60">
        <v>0.65474006095967408</v>
      </c>
      <c r="D129" s="60">
        <v>0.1652048916079174</v>
      </c>
      <c r="E129" s="60">
        <v>8.4251340820532303E-2</v>
      </c>
      <c r="F129" s="60">
        <v>8.6965422465667894E-2</v>
      </c>
      <c r="G129" s="60">
        <v>8.8382841462081464E-3</v>
      </c>
      <c r="H129" s="60">
        <f t="shared" si="14"/>
        <v>0.99999999999999978</v>
      </c>
    </row>
    <row r="130" spans="1:8" hidden="1" x14ac:dyDescent="0.2">
      <c r="A130" s="10">
        <f t="shared" si="15"/>
        <v>2015</v>
      </c>
      <c r="B130" t="s">
        <v>30</v>
      </c>
      <c r="C130" s="59">
        <v>0.65249919131062917</v>
      </c>
      <c r="D130" s="59">
        <v>0.16578316133552706</v>
      </c>
      <c r="E130" s="59">
        <v>8.3807708207086981E-2</v>
      </c>
      <c r="F130" s="59">
        <v>8.6463375270498591E-2</v>
      </c>
      <c r="G130" s="59">
        <v>1.1446563876258323E-2</v>
      </c>
      <c r="H130" s="59">
        <f t="shared" si="14"/>
        <v>1.0000000000000002</v>
      </c>
    </row>
    <row r="131" spans="1:8" hidden="1" x14ac:dyDescent="0.2">
      <c r="A131" s="10">
        <f t="shared" si="15"/>
        <v>2015</v>
      </c>
      <c r="B131" t="s">
        <v>14</v>
      </c>
      <c r="C131" s="59">
        <v>0.65235850168902765</v>
      </c>
      <c r="D131" s="59">
        <v>0.1644345649252042</v>
      </c>
      <c r="E131" s="59">
        <v>8.3767838845100098E-2</v>
      </c>
      <c r="F131" s="59">
        <v>8.660783560476544E-2</v>
      </c>
      <c r="G131" s="59">
        <v>1.2831258935902654E-2</v>
      </c>
      <c r="H131" s="59">
        <f t="shared" si="14"/>
        <v>1</v>
      </c>
    </row>
    <row r="132" spans="1:8" hidden="1" x14ac:dyDescent="0.2">
      <c r="A132" s="12">
        <f t="shared" si="15"/>
        <v>2015</v>
      </c>
      <c r="B132" s="13" t="s">
        <v>15</v>
      </c>
      <c r="C132" s="60">
        <v>0.65540297909551304</v>
      </c>
      <c r="D132" s="60">
        <v>0.1617946018038785</v>
      </c>
      <c r="E132" s="60">
        <v>8.4094822676719472E-2</v>
      </c>
      <c r="F132" s="60">
        <v>8.7093956015489124E-2</v>
      </c>
      <c r="G132" s="60">
        <v>1.1613640408399812E-2</v>
      </c>
      <c r="H132" s="60">
        <f t="shared" si="14"/>
        <v>0.99999999999999989</v>
      </c>
    </row>
    <row r="133" spans="1:8" hidden="1" x14ac:dyDescent="0.2">
      <c r="A133" s="10">
        <f t="shared" si="15"/>
        <v>2015</v>
      </c>
      <c r="B133" t="s">
        <v>16</v>
      </c>
      <c r="C133" s="59">
        <v>0.65996806183455248</v>
      </c>
      <c r="D133" s="59">
        <v>0.15609781828314234</v>
      </c>
      <c r="E133" s="59">
        <v>8.402663338184882E-2</v>
      </c>
      <c r="F133" s="59">
        <v>8.7453083401262094E-2</v>
      </c>
      <c r="G133" s="59">
        <v>1.2454403099194272E-2</v>
      </c>
      <c r="H133" s="59">
        <f t="shared" si="14"/>
        <v>1</v>
      </c>
    </row>
    <row r="134" spans="1:8" hidden="1" x14ac:dyDescent="0.2">
      <c r="A134" s="10">
        <f t="shared" si="15"/>
        <v>2015</v>
      </c>
      <c r="B134" t="s">
        <v>17</v>
      </c>
      <c r="C134" s="59">
        <v>0.66120424699573543</v>
      </c>
      <c r="D134" s="59">
        <v>0.15374139405708265</v>
      </c>
      <c r="E134" s="59">
        <v>8.4376664325683109E-2</v>
      </c>
      <c r="F134" s="59">
        <v>8.7616891637224026E-2</v>
      </c>
      <c r="G134" s="59">
        <v>1.3060802984274773E-2</v>
      </c>
      <c r="H134" s="59">
        <f t="shared" si="14"/>
        <v>1</v>
      </c>
    </row>
    <row r="135" spans="1:8" hidden="1" x14ac:dyDescent="0.2">
      <c r="A135" s="12">
        <f t="shared" si="15"/>
        <v>2015</v>
      </c>
      <c r="B135" s="13" t="s">
        <v>18</v>
      </c>
      <c r="C135" s="60">
        <v>0.66103904203571173</v>
      </c>
      <c r="D135" s="60">
        <v>0.15425467876045981</v>
      </c>
      <c r="E135" s="60">
        <v>8.4355582423199585E-2</v>
      </c>
      <c r="F135" s="60">
        <v>8.7759497801720238E-2</v>
      </c>
      <c r="G135" s="60">
        <v>1.2591198978908699E-2</v>
      </c>
      <c r="H135" s="60">
        <f t="shared" si="14"/>
        <v>1</v>
      </c>
    </row>
    <row r="136" spans="1:8" hidden="1" x14ac:dyDescent="0.2">
      <c r="A136" s="46">
        <v>2016</v>
      </c>
      <c r="B136" t="s">
        <v>8</v>
      </c>
      <c r="C136" s="59">
        <v>0.66318952881571003</v>
      </c>
      <c r="D136" s="59">
        <v>0.15283904887282665</v>
      </c>
      <c r="E136" s="59">
        <v>8.4109129356729817E-2</v>
      </c>
      <c r="F136" s="59">
        <v>8.7852543838209216E-2</v>
      </c>
      <c r="G136" s="59">
        <v>1.2009749116524273E-2</v>
      </c>
      <c r="H136" s="59">
        <f t="shared" si="14"/>
        <v>1</v>
      </c>
    </row>
    <row r="137" spans="1:8" hidden="1" x14ac:dyDescent="0.2">
      <c r="A137" s="10">
        <f>A136</f>
        <v>2016</v>
      </c>
      <c r="B137" t="s">
        <v>9</v>
      </c>
      <c r="C137" s="59">
        <v>0.66867751239187356</v>
      </c>
      <c r="D137" s="59">
        <v>0.14509124323860581</v>
      </c>
      <c r="E137" s="59">
        <v>8.4837191058016653E-2</v>
      </c>
      <c r="F137" s="59">
        <v>8.8579535590580891E-2</v>
      </c>
      <c r="G137" s="59">
        <v>1.2814517720923284E-2</v>
      </c>
      <c r="H137" s="59">
        <f t="shared" si="14"/>
        <v>1.0000000000000002</v>
      </c>
    </row>
    <row r="138" spans="1:8" hidden="1" x14ac:dyDescent="0.2">
      <c r="A138" s="12">
        <f t="shared" ref="A138:A147" si="16">A137</f>
        <v>2016</v>
      </c>
      <c r="B138" s="13" t="s">
        <v>10</v>
      </c>
      <c r="C138" s="60">
        <v>0.67243734206108119</v>
      </c>
      <c r="D138" s="60">
        <v>0.14057490836111153</v>
      </c>
      <c r="E138" s="60">
        <v>8.494017334540177E-2</v>
      </c>
      <c r="F138" s="60">
        <v>8.9161005237623242E-2</v>
      </c>
      <c r="G138" s="60">
        <v>1.2886570994782265E-2</v>
      </c>
      <c r="H138" s="60">
        <f t="shared" si="14"/>
        <v>1</v>
      </c>
    </row>
    <row r="139" spans="1:8" hidden="1" x14ac:dyDescent="0.2">
      <c r="A139" s="10">
        <f t="shared" si="16"/>
        <v>2016</v>
      </c>
      <c r="B139" t="s">
        <v>11</v>
      </c>
      <c r="C139" s="59">
        <v>0.6754505485456167</v>
      </c>
      <c r="D139" s="59">
        <v>0.1383928124575505</v>
      </c>
      <c r="E139" s="59">
        <v>8.5587836858725938E-2</v>
      </c>
      <c r="F139" s="59">
        <v>8.9212594621736072E-2</v>
      </c>
      <c r="G139" s="59">
        <v>1.1356207516370686E-2</v>
      </c>
      <c r="H139" s="59">
        <f t="shared" si="14"/>
        <v>0.99999999999999989</v>
      </c>
    </row>
    <row r="140" spans="1:8" hidden="1" x14ac:dyDescent="0.2">
      <c r="A140" s="10">
        <f t="shared" si="16"/>
        <v>2016</v>
      </c>
      <c r="B140" t="s">
        <v>12</v>
      </c>
      <c r="C140" s="59">
        <v>0.67121870162955566</v>
      </c>
      <c r="D140" s="59">
        <v>0.14491615341422015</v>
      </c>
      <c r="E140" s="59">
        <v>8.5136576795123042E-2</v>
      </c>
      <c r="F140" s="59">
        <v>8.8736589398371729E-2</v>
      </c>
      <c r="G140" s="59">
        <v>9.9919787627293331E-3</v>
      </c>
      <c r="H140" s="59">
        <f t="shared" si="14"/>
        <v>0.99999999999999978</v>
      </c>
    </row>
    <row r="141" spans="1:8" hidden="1" x14ac:dyDescent="0.2">
      <c r="A141" s="12">
        <f t="shared" si="16"/>
        <v>2016</v>
      </c>
      <c r="B141" s="13" t="s">
        <v>13</v>
      </c>
      <c r="C141" s="60">
        <v>0.67165466957090036</v>
      </c>
      <c r="D141" s="60">
        <v>0.14420645253616504</v>
      </c>
      <c r="E141" s="60">
        <v>8.5276896277818967E-2</v>
      </c>
      <c r="F141" s="60">
        <v>8.8628254804965917E-2</v>
      </c>
      <c r="G141" s="60">
        <v>1.0233726810149616E-2</v>
      </c>
      <c r="H141" s="60">
        <f t="shared" si="14"/>
        <v>1</v>
      </c>
    </row>
    <row r="142" spans="1:8" hidden="1" x14ac:dyDescent="0.2">
      <c r="A142" s="10">
        <f t="shared" si="16"/>
        <v>2016</v>
      </c>
      <c r="B142" t="s">
        <v>30</v>
      </c>
      <c r="C142" s="59">
        <v>0.67042123165096135</v>
      </c>
      <c r="D142" s="59">
        <v>0.1471530144356307</v>
      </c>
      <c r="E142" s="59">
        <v>8.4828640307242409E-2</v>
      </c>
      <c r="F142" s="59">
        <v>8.7904550200323145E-2</v>
      </c>
      <c r="G142" s="59">
        <v>9.6925634058423679E-3</v>
      </c>
      <c r="H142" s="59">
        <f t="shared" si="14"/>
        <v>1</v>
      </c>
    </row>
    <row r="143" spans="1:8" hidden="1" x14ac:dyDescent="0.2">
      <c r="A143" s="10">
        <f t="shared" si="16"/>
        <v>2016</v>
      </c>
      <c r="B143" t="s">
        <v>14</v>
      </c>
      <c r="C143" s="59">
        <v>0.66804902785344378</v>
      </c>
      <c r="D143" s="59">
        <v>0.1525167091590274</v>
      </c>
      <c r="E143" s="59">
        <v>8.4612592449708604E-2</v>
      </c>
      <c r="F143" s="59">
        <v>8.7839790452148556E-2</v>
      </c>
      <c r="G143" s="59">
        <v>6.9818800856716679E-3</v>
      </c>
      <c r="H143" s="59">
        <f t="shared" si="14"/>
        <v>1</v>
      </c>
    </row>
    <row r="144" spans="1:8" hidden="1" x14ac:dyDescent="0.2">
      <c r="A144" s="12">
        <f t="shared" si="16"/>
        <v>2016</v>
      </c>
      <c r="B144" s="13" t="s">
        <v>15</v>
      </c>
      <c r="C144" s="60">
        <v>0.6707480307449778</v>
      </c>
      <c r="D144" s="60">
        <v>0.14866186256766889</v>
      </c>
      <c r="E144" s="60">
        <v>8.4869990314506941E-2</v>
      </c>
      <c r="F144" s="60">
        <v>8.8359524216788859E-2</v>
      </c>
      <c r="G144" s="60">
        <v>7.3605921560575662E-3</v>
      </c>
      <c r="H144" s="60">
        <f t="shared" si="14"/>
        <v>1</v>
      </c>
    </row>
    <row r="145" spans="1:8" hidden="1" x14ac:dyDescent="0.2">
      <c r="A145" s="10">
        <f t="shared" si="16"/>
        <v>2016</v>
      </c>
      <c r="B145" t="s">
        <v>16</v>
      </c>
      <c r="C145" s="59">
        <v>0.6740619911795952</v>
      </c>
      <c r="D145" s="59">
        <v>0.14551227221604879</v>
      </c>
      <c r="E145" s="59">
        <v>8.4642244076392037E-2</v>
      </c>
      <c r="F145" s="59">
        <v>8.8303803611636159E-2</v>
      </c>
      <c r="G145" s="59">
        <v>7.4796889163277046E-3</v>
      </c>
      <c r="H145" s="59">
        <f t="shared" si="14"/>
        <v>0.99999999999999989</v>
      </c>
    </row>
    <row r="146" spans="1:8" hidden="1" x14ac:dyDescent="0.2">
      <c r="A146" s="10">
        <f t="shared" si="16"/>
        <v>2016</v>
      </c>
      <c r="B146" t="s">
        <v>17</v>
      </c>
      <c r="C146" s="59">
        <v>0.67173768029410652</v>
      </c>
      <c r="D146" s="59">
        <v>0.14930830149971933</v>
      </c>
      <c r="E146" s="59">
        <v>8.4350379393538968E-2</v>
      </c>
      <c r="F146" s="59">
        <v>8.8081478641528113E-2</v>
      </c>
      <c r="G146" s="59">
        <v>6.5221601711069107E-3</v>
      </c>
      <c r="H146" s="59">
        <f t="shared" si="14"/>
        <v>0.99999999999999989</v>
      </c>
    </row>
    <row r="147" spans="1:8" ht="13.5" hidden="1" thickBot="1" x14ac:dyDescent="0.25">
      <c r="A147" s="29">
        <f t="shared" si="16"/>
        <v>2016</v>
      </c>
      <c r="B147" s="30" t="s">
        <v>18</v>
      </c>
      <c r="C147" s="62">
        <v>0.66607356787368832</v>
      </c>
      <c r="D147" s="62">
        <v>0.15388922830979196</v>
      </c>
      <c r="E147" s="62">
        <v>8.3806078825521366E-2</v>
      </c>
      <c r="F147" s="62">
        <v>8.7338772951765647E-2</v>
      </c>
      <c r="G147" s="62">
        <v>8.8923520392325799E-3</v>
      </c>
      <c r="H147" s="62">
        <f t="shared" si="14"/>
        <v>0.99999999999999989</v>
      </c>
    </row>
    <row r="148" spans="1:8" hidden="1" x14ac:dyDescent="0.2">
      <c r="A148" s="2">
        <v>2017</v>
      </c>
      <c r="B148" t="s">
        <v>8</v>
      </c>
      <c r="C148" s="59">
        <v>0.66922332742214574</v>
      </c>
      <c r="D148" s="59">
        <v>0.15054911910293195</v>
      </c>
      <c r="E148" s="59">
        <v>8.3796224804446928E-2</v>
      </c>
      <c r="F148" s="59">
        <v>8.7415570853849739E-2</v>
      </c>
      <c r="G148" s="59">
        <v>9.0157578166256899E-3</v>
      </c>
      <c r="H148" s="59">
        <f t="shared" si="14"/>
        <v>1.0000000000000002</v>
      </c>
    </row>
    <row r="149" spans="1:8" hidden="1" x14ac:dyDescent="0.2">
      <c r="A149" s="10">
        <f>A148</f>
        <v>2017</v>
      </c>
      <c r="B149" t="s">
        <v>9</v>
      </c>
      <c r="C149" s="59">
        <v>0.66432640419352662</v>
      </c>
      <c r="D149" s="59">
        <v>0.15743314544430401</v>
      </c>
      <c r="E149" s="59">
        <v>8.3176682561511728E-2</v>
      </c>
      <c r="F149" s="59">
        <v>8.6688327715668118E-2</v>
      </c>
      <c r="G149" s="59">
        <v>8.3754400849895376E-3</v>
      </c>
      <c r="H149" s="59">
        <f t="shared" si="14"/>
        <v>1</v>
      </c>
    </row>
    <row r="150" spans="1:8" hidden="1" x14ac:dyDescent="0.2">
      <c r="A150" s="12">
        <f t="shared" ref="A150:A159" si="17">A149</f>
        <v>2017</v>
      </c>
      <c r="B150" s="13" t="s">
        <v>10</v>
      </c>
      <c r="C150" s="60">
        <v>0.66105115528637859</v>
      </c>
      <c r="D150" s="60">
        <v>0.16008969414902047</v>
      </c>
      <c r="E150" s="60">
        <v>8.2766606525183611E-2</v>
      </c>
      <c r="F150" s="60">
        <v>8.6502565914902671E-2</v>
      </c>
      <c r="G150" s="60">
        <v>9.5899781245145071E-3</v>
      </c>
      <c r="H150" s="60">
        <f t="shared" si="14"/>
        <v>0.99999999999999989</v>
      </c>
    </row>
    <row r="151" spans="1:8" hidden="1" x14ac:dyDescent="0.2">
      <c r="A151" s="10">
        <f t="shared" si="17"/>
        <v>2017</v>
      </c>
      <c r="B151" t="s">
        <v>11</v>
      </c>
      <c r="C151" s="59">
        <v>0.66398678510366238</v>
      </c>
      <c r="D151" s="59">
        <v>0.15711258478972015</v>
      </c>
      <c r="E151" s="59">
        <v>8.342012970489518E-2</v>
      </c>
      <c r="F151" s="59">
        <v>8.6576228317706005E-2</v>
      </c>
      <c r="G151" s="59">
        <v>8.9042720840163576E-3</v>
      </c>
      <c r="H151" s="59">
        <f t="shared" si="14"/>
        <v>1.0000000000000002</v>
      </c>
    </row>
    <row r="152" spans="1:8" hidden="1" x14ac:dyDescent="0.2">
      <c r="A152" s="10">
        <f t="shared" si="17"/>
        <v>2017</v>
      </c>
      <c r="B152" t="s">
        <v>12</v>
      </c>
      <c r="C152" s="59">
        <v>0.66621688025345482</v>
      </c>
      <c r="D152" s="59">
        <v>0.15513555866974502</v>
      </c>
      <c r="E152" s="59">
        <v>8.3783097835062867E-2</v>
      </c>
      <c r="F152" s="59">
        <v>8.7190233109481236E-2</v>
      </c>
      <c r="G152" s="59">
        <v>7.6742301322561364E-3</v>
      </c>
      <c r="H152" s="59">
        <f t="shared" si="14"/>
        <v>1.0000000000000002</v>
      </c>
    </row>
    <row r="153" spans="1:8" hidden="1" x14ac:dyDescent="0.2">
      <c r="A153" s="12">
        <f t="shared" si="17"/>
        <v>2017</v>
      </c>
      <c r="B153" s="13" t="s">
        <v>13</v>
      </c>
      <c r="C153" s="60">
        <v>0.66373577456396504</v>
      </c>
      <c r="D153" s="60">
        <v>0.15736511358471536</v>
      </c>
      <c r="E153" s="60">
        <v>8.3636037837979668E-2</v>
      </c>
      <c r="F153" s="60">
        <v>8.6704510596457396E-2</v>
      </c>
      <c r="G153" s="60">
        <v>8.5585634168824972E-3</v>
      </c>
      <c r="H153" s="60">
        <f t="shared" si="14"/>
        <v>1</v>
      </c>
    </row>
    <row r="154" spans="1:8" hidden="1" x14ac:dyDescent="0.2">
      <c r="A154" s="10">
        <f t="shared" si="17"/>
        <v>2017</v>
      </c>
      <c r="B154" t="s">
        <v>30</v>
      </c>
      <c r="C154" s="59">
        <v>0.66815052486174498</v>
      </c>
      <c r="D154" s="59">
        <v>0.15225444214772238</v>
      </c>
      <c r="E154" s="59">
        <v>8.3917271546185196E-2</v>
      </c>
      <c r="F154" s="59">
        <v>8.7081941947780198E-2</v>
      </c>
      <c r="G154" s="59">
        <v>8.5958194965673283E-3</v>
      </c>
      <c r="H154" s="59">
        <f t="shared" si="14"/>
        <v>1</v>
      </c>
    </row>
    <row r="155" spans="1:8" hidden="1" x14ac:dyDescent="0.2">
      <c r="A155" s="10">
        <f t="shared" si="17"/>
        <v>2017</v>
      </c>
      <c r="B155" t="s">
        <v>14</v>
      </c>
      <c r="C155" s="59">
        <v>0.67184243166953617</v>
      </c>
      <c r="D155" s="59">
        <v>0.14852806237038982</v>
      </c>
      <c r="E155" s="59">
        <v>8.4297663503481099E-2</v>
      </c>
      <c r="F155" s="59">
        <v>8.772572417795238E-2</v>
      </c>
      <c r="G155" s="59">
        <v>7.6061182786406429E-3</v>
      </c>
      <c r="H155" s="59">
        <f t="shared" si="14"/>
        <v>1.0000000000000002</v>
      </c>
    </row>
    <row r="156" spans="1:8" hidden="1" x14ac:dyDescent="0.2">
      <c r="A156" s="12">
        <f t="shared" si="17"/>
        <v>2017</v>
      </c>
      <c r="B156" s="13" t="s">
        <v>15</v>
      </c>
      <c r="C156" s="60">
        <v>0.67135424565021373</v>
      </c>
      <c r="D156" s="60">
        <v>0.1484201362851825</v>
      </c>
      <c r="E156" s="60">
        <v>8.490231011717278E-2</v>
      </c>
      <c r="F156" s="60">
        <v>8.8068197987518568E-2</v>
      </c>
      <c r="G156" s="60">
        <v>7.2551099599125158E-3</v>
      </c>
      <c r="H156" s="60">
        <f t="shared" si="14"/>
        <v>1</v>
      </c>
    </row>
    <row r="157" spans="1:8" hidden="1" x14ac:dyDescent="0.2">
      <c r="A157" s="10">
        <f t="shared" si="17"/>
        <v>2017</v>
      </c>
      <c r="B157" t="s">
        <v>16</v>
      </c>
      <c r="C157" s="59">
        <v>0.67327177437410579</v>
      </c>
      <c r="D157" s="59">
        <v>0.14810022073670043</v>
      </c>
      <c r="E157" s="59">
        <v>8.4380650008477401E-2</v>
      </c>
      <c r="F157" s="59">
        <v>8.7704295171351032E-2</v>
      </c>
      <c r="G157" s="59">
        <v>6.5430597093652631E-3</v>
      </c>
      <c r="H157" s="59">
        <f t="shared" si="14"/>
        <v>1</v>
      </c>
    </row>
    <row r="158" spans="1:8" hidden="1" x14ac:dyDescent="0.2">
      <c r="A158" s="10">
        <f t="shared" si="17"/>
        <v>2017</v>
      </c>
      <c r="B158" t="s">
        <v>17</v>
      </c>
      <c r="C158" s="59">
        <v>0.67055360025857358</v>
      </c>
      <c r="D158" s="59">
        <v>0.15218987457792701</v>
      </c>
      <c r="E158" s="59">
        <v>8.4122618456282716E-2</v>
      </c>
      <c r="F158" s="59">
        <v>8.7188898449362909E-2</v>
      </c>
      <c r="G158" s="59">
        <v>5.9450082578536316E-3</v>
      </c>
      <c r="H158" s="59">
        <f t="shared" si="14"/>
        <v>0.99999999999999978</v>
      </c>
    </row>
    <row r="159" spans="1:8" ht="13.5" hidden="1" thickBot="1" x14ac:dyDescent="0.25">
      <c r="A159" s="29">
        <f t="shared" si="17"/>
        <v>2017</v>
      </c>
      <c r="B159" s="30" t="s">
        <v>18</v>
      </c>
      <c r="C159" s="62">
        <v>0.66725458854421249</v>
      </c>
      <c r="D159" s="62">
        <v>0.15470628355788107</v>
      </c>
      <c r="E159" s="62">
        <v>8.3790977857835361E-2</v>
      </c>
      <c r="F159" s="62">
        <v>8.708097950080565E-2</v>
      </c>
      <c r="G159" s="62">
        <v>7.1671705392653828E-3</v>
      </c>
      <c r="H159" s="62">
        <f t="shared" si="14"/>
        <v>1</v>
      </c>
    </row>
    <row r="160" spans="1:8" hidden="1" x14ac:dyDescent="0.2">
      <c r="A160" s="2">
        <v>2018</v>
      </c>
      <c r="B160" t="s">
        <v>8</v>
      </c>
      <c r="C160" s="59">
        <v>0.59414917966930147</v>
      </c>
      <c r="D160" s="59">
        <v>0.24782619239440018</v>
      </c>
      <c r="E160" s="59">
        <v>7.3999228132454423E-2</v>
      </c>
      <c r="F160" s="59">
        <v>7.7274022200185838E-2</v>
      </c>
      <c r="G160" s="59">
        <v>6.7513776036580084E-3</v>
      </c>
      <c r="H160" s="59">
        <f t="shared" ref="H160:H185" si="18">SUM(C160:G160)</f>
        <v>0.99999999999999989</v>
      </c>
    </row>
    <row r="161" spans="1:8" hidden="1" x14ac:dyDescent="0.2">
      <c r="A161" s="10">
        <f>A160</f>
        <v>2018</v>
      </c>
      <c r="B161" t="s">
        <v>9</v>
      </c>
      <c r="C161" s="59">
        <v>0.59936718313663395</v>
      </c>
      <c r="D161" s="59">
        <v>0.24233755306267946</v>
      </c>
      <c r="E161" s="59">
        <v>7.4428691833688568E-2</v>
      </c>
      <c r="F161" s="59">
        <v>7.7665812432695561E-2</v>
      </c>
      <c r="G161" s="59">
        <v>6.2007595343024731E-3</v>
      </c>
      <c r="H161" s="59">
        <f t="shared" si="18"/>
        <v>1</v>
      </c>
    </row>
    <row r="162" spans="1:8" hidden="1" x14ac:dyDescent="0.2">
      <c r="A162" s="12">
        <f t="shared" ref="A162:A171" si="19">A161</f>
        <v>2018</v>
      </c>
      <c r="B162" s="13" t="s">
        <v>10</v>
      </c>
      <c r="C162" s="60">
        <v>0.5937676450170728</v>
      </c>
      <c r="D162" s="60">
        <v>0.24719400879742215</v>
      </c>
      <c r="E162" s="60">
        <v>7.3514986616570979E-2</v>
      </c>
      <c r="F162" s="60">
        <v>7.7366487671736969E-2</v>
      </c>
      <c r="G162" s="60">
        <v>8.1568718971971547E-3</v>
      </c>
      <c r="H162" s="60">
        <f t="shared" si="18"/>
        <v>1</v>
      </c>
    </row>
    <row r="163" spans="1:8" hidden="1" x14ac:dyDescent="0.2">
      <c r="A163" s="10">
        <f t="shared" si="19"/>
        <v>2018</v>
      </c>
      <c r="B163" t="s">
        <v>11</v>
      </c>
      <c r="C163" s="59">
        <v>0.59544557553435706</v>
      </c>
      <c r="D163" s="59">
        <v>0.24548685227675826</v>
      </c>
      <c r="E163" s="59">
        <v>7.3955445373546813E-2</v>
      </c>
      <c r="F163" s="59">
        <v>7.7365296502092534E-2</v>
      </c>
      <c r="G163" s="59">
        <v>7.7468303132453235E-3</v>
      </c>
      <c r="H163" s="59">
        <f t="shared" si="18"/>
        <v>1</v>
      </c>
    </row>
    <row r="164" spans="1:8" hidden="1" x14ac:dyDescent="0.2">
      <c r="A164" s="10">
        <f t="shared" si="19"/>
        <v>2018</v>
      </c>
      <c r="B164" t="s">
        <v>12</v>
      </c>
      <c r="C164" s="59">
        <v>0.59724855628443907</v>
      </c>
      <c r="D164" s="59">
        <v>0.24471591485892302</v>
      </c>
      <c r="E164" s="59">
        <v>7.4179378928267731E-2</v>
      </c>
      <c r="F164" s="59">
        <v>7.7599554923095143E-2</v>
      </c>
      <c r="G164" s="59">
        <v>6.2565950052751321E-3</v>
      </c>
      <c r="H164" s="59">
        <f t="shared" si="18"/>
        <v>1</v>
      </c>
    </row>
    <row r="165" spans="1:8" hidden="1" x14ac:dyDescent="0.2">
      <c r="A165" s="12">
        <f t="shared" si="19"/>
        <v>2018</v>
      </c>
      <c r="B165" s="13" t="s">
        <v>13</v>
      </c>
      <c r="C165" s="60">
        <v>0.59185774749846709</v>
      </c>
      <c r="D165" s="60">
        <v>0.24970118119465468</v>
      </c>
      <c r="E165" s="60">
        <v>7.3871235736916549E-2</v>
      </c>
      <c r="F165" s="60">
        <v>7.6969685378048103E-2</v>
      </c>
      <c r="G165" s="60">
        <v>7.6001501919137661E-3</v>
      </c>
      <c r="H165" s="60">
        <f t="shared" si="18"/>
        <v>1.0000000000000002</v>
      </c>
    </row>
    <row r="166" spans="1:8" hidden="1" x14ac:dyDescent="0.2">
      <c r="A166" s="10">
        <f t="shared" si="19"/>
        <v>2018</v>
      </c>
      <c r="B166" t="s">
        <v>30</v>
      </c>
      <c r="C166" s="221">
        <v>0.59250252728438835</v>
      </c>
      <c r="D166" s="221">
        <v>0.25097422426058902</v>
      </c>
      <c r="E166" s="221">
        <v>7.3764656829088643E-2</v>
      </c>
      <c r="F166" s="221">
        <v>7.6778831894324509E-2</v>
      </c>
      <c r="G166" s="221">
        <v>5.9797597316093272E-3</v>
      </c>
      <c r="H166" s="221">
        <f t="shared" si="18"/>
        <v>0.99999999999999989</v>
      </c>
    </row>
    <row r="167" spans="1:8" hidden="1" x14ac:dyDescent="0.2">
      <c r="A167" s="10">
        <f t="shared" si="19"/>
        <v>2018</v>
      </c>
      <c r="B167" t="s">
        <v>14</v>
      </c>
      <c r="C167" s="59">
        <v>0.59252111932042362</v>
      </c>
      <c r="D167" s="59">
        <v>0.25242354421140301</v>
      </c>
      <c r="E167" s="59">
        <v>7.3694933419626255E-2</v>
      </c>
      <c r="F167" s="59">
        <v>7.6078116205512469E-2</v>
      </c>
      <c r="G167" s="59">
        <v>5.2822868430344424E-3</v>
      </c>
      <c r="H167" s="59">
        <f t="shared" si="18"/>
        <v>0.99999999999999978</v>
      </c>
    </row>
    <row r="168" spans="1:8" hidden="1" x14ac:dyDescent="0.2">
      <c r="A168" s="12">
        <f t="shared" si="19"/>
        <v>2018</v>
      </c>
      <c r="B168" s="13" t="s">
        <v>15</v>
      </c>
      <c r="C168" s="60">
        <v>0.58262404703781068</v>
      </c>
      <c r="D168" s="60">
        <v>0.26294903913327833</v>
      </c>
      <c r="E168" s="60">
        <v>7.3030661327795912E-2</v>
      </c>
      <c r="F168" s="60">
        <v>7.5222187012031635E-2</v>
      </c>
      <c r="G168" s="60">
        <v>6.1740654890832638E-3</v>
      </c>
      <c r="H168" s="60">
        <f t="shared" si="18"/>
        <v>0.99999999999999989</v>
      </c>
    </row>
    <row r="169" spans="1:8" hidden="1" x14ac:dyDescent="0.2">
      <c r="A169" s="10">
        <f t="shared" si="19"/>
        <v>2018</v>
      </c>
      <c r="B169" t="s">
        <v>16</v>
      </c>
      <c r="C169" s="59">
        <v>0.58449167238501487</v>
      </c>
      <c r="D169" s="59">
        <v>0.26172725186048995</v>
      </c>
      <c r="E169" s="59">
        <v>7.233276066347262E-2</v>
      </c>
      <c r="F169" s="59">
        <v>7.4724778045342374E-2</v>
      </c>
      <c r="G169" s="59">
        <v>6.7235370456801419E-3</v>
      </c>
      <c r="H169" s="59">
        <f t="shared" si="18"/>
        <v>1</v>
      </c>
    </row>
    <row r="170" spans="1:8" hidden="1" x14ac:dyDescent="0.2">
      <c r="A170" s="10">
        <f t="shared" si="19"/>
        <v>2018</v>
      </c>
      <c r="B170" t="s">
        <v>17</v>
      </c>
      <c r="C170" s="59">
        <v>0.583130872755659</v>
      </c>
      <c r="D170" s="59">
        <v>0.2642461671130456</v>
      </c>
      <c r="E170" s="59">
        <v>7.1953555815023093E-2</v>
      </c>
      <c r="F170" s="59">
        <v>7.5030893576381527E-2</v>
      </c>
      <c r="G170" s="59">
        <v>5.6385107398904981E-3</v>
      </c>
      <c r="H170" s="59">
        <f t="shared" si="18"/>
        <v>0.99999999999999967</v>
      </c>
    </row>
    <row r="171" spans="1:8" hidden="1" x14ac:dyDescent="0.2">
      <c r="A171" s="12">
        <f t="shared" si="19"/>
        <v>2018</v>
      </c>
      <c r="B171" s="13" t="s">
        <v>18</v>
      </c>
      <c r="C171" s="60">
        <v>0.58011281172494544</v>
      </c>
      <c r="D171" s="60">
        <v>0.26711644008355528</v>
      </c>
      <c r="E171" s="60">
        <v>7.1790862301069833E-2</v>
      </c>
      <c r="F171" s="60">
        <v>7.4983707707278788E-2</v>
      </c>
      <c r="G171" s="60">
        <v>5.9961781831507225E-3</v>
      </c>
      <c r="H171" s="60">
        <f t="shared" si="18"/>
        <v>1</v>
      </c>
    </row>
    <row r="172" spans="1:8" hidden="1" x14ac:dyDescent="0.2">
      <c r="A172" s="2">
        <v>2019</v>
      </c>
      <c r="B172" t="s">
        <v>8</v>
      </c>
      <c r="C172" s="59">
        <v>0.58148483499195802</v>
      </c>
      <c r="D172" s="59">
        <v>0.26617244140786894</v>
      </c>
      <c r="E172" s="59">
        <v>7.143343599702992E-2</v>
      </c>
      <c r="F172" s="59">
        <v>7.4828970245902598E-2</v>
      </c>
      <c r="G172" s="59">
        <v>6.0803173572406572E-3</v>
      </c>
      <c r="H172" s="59">
        <f t="shared" si="18"/>
        <v>1</v>
      </c>
    </row>
    <row r="173" spans="1:8" hidden="1" x14ac:dyDescent="0.2">
      <c r="A173" s="10">
        <f>A172</f>
        <v>2019</v>
      </c>
      <c r="B173" t="s">
        <v>9</v>
      </c>
      <c r="C173" s="59">
        <v>0.58813462050618759</v>
      </c>
      <c r="D173" s="59">
        <v>0.25812988885427296</v>
      </c>
      <c r="E173" s="59">
        <v>7.2038668633729472E-2</v>
      </c>
      <c r="F173" s="59">
        <v>7.5546970924126322E-2</v>
      </c>
      <c r="G173" s="59">
        <v>6.1498510816836291E-3</v>
      </c>
      <c r="H173" s="59">
        <f t="shared" si="18"/>
        <v>1</v>
      </c>
    </row>
    <row r="174" spans="1:8" hidden="1" x14ac:dyDescent="0.2">
      <c r="A174" s="12">
        <f t="shared" ref="A174:A183" si="20">A173</f>
        <v>2019</v>
      </c>
      <c r="B174" s="13" t="s">
        <v>10</v>
      </c>
      <c r="C174" s="60">
        <v>0.59023717422700406</v>
      </c>
      <c r="D174" s="60">
        <v>0.25506583867621291</v>
      </c>
      <c r="E174" s="60">
        <v>7.2437821920069645E-2</v>
      </c>
      <c r="F174" s="60">
        <v>7.5597500370920487E-2</v>
      </c>
      <c r="G174" s="60">
        <v>6.6616648057928763E-3</v>
      </c>
      <c r="H174" s="60">
        <f t="shared" si="18"/>
        <v>1</v>
      </c>
    </row>
    <row r="175" spans="1:8" hidden="1" x14ac:dyDescent="0.2">
      <c r="A175" s="10">
        <f t="shared" si="20"/>
        <v>2019</v>
      </c>
      <c r="B175" t="s">
        <v>11</v>
      </c>
      <c r="C175" s="59">
        <v>0.58650560877938651</v>
      </c>
      <c r="D175" s="59">
        <v>0.26114407947064566</v>
      </c>
      <c r="E175" s="59">
        <v>7.2013492682135569E-2</v>
      </c>
      <c r="F175" s="59">
        <v>7.5006323778056494E-2</v>
      </c>
      <c r="G175" s="59">
        <v>5.3304952897759881E-3</v>
      </c>
      <c r="H175" s="59">
        <f t="shared" si="18"/>
        <v>1.0000000000000002</v>
      </c>
    </row>
    <row r="176" spans="1:8" hidden="1" x14ac:dyDescent="0.2">
      <c r="A176" s="10">
        <f t="shared" si="20"/>
        <v>2019</v>
      </c>
      <c r="B176" t="s">
        <v>12</v>
      </c>
      <c r="C176" s="59">
        <v>0.58733780241276823</v>
      </c>
      <c r="D176" s="59">
        <v>0.25995306167819898</v>
      </c>
      <c r="E176" s="59">
        <v>7.2185824160824419E-2</v>
      </c>
      <c r="F176" s="59">
        <v>7.5185253011166797E-2</v>
      </c>
      <c r="G176" s="59">
        <v>5.3380587370414892E-3</v>
      </c>
      <c r="H176" s="59">
        <f t="shared" si="18"/>
        <v>1</v>
      </c>
    </row>
    <row r="177" spans="1:8" hidden="1" x14ac:dyDescent="0.2">
      <c r="A177" s="12">
        <f t="shared" si="20"/>
        <v>2019</v>
      </c>
      <c r="B177" s="13" t="s">
        <v>13</v>
      </c>
      <c r="C177" s="60">
        <v>0.58482200984025801</v>
      </c>
      <c r="D177" s="60">
        <v>0.26194931674398741</v>
      </c>
      <c r="E177" s="60">
        <v>7.2086177493133882E-2</v>
      </c>
      <c r="F177" s="60">
        <v>7.5440742585671863E-2</v>
      </c>
      <c r="G177" s="60">
        <v>5.7017533369488147E-3</v>
      </c>
      <c r="H177" s="60">
        <f t="shared" si="18"/>
        <v>0.99999999999999989</v>
      </c>
    </row>
    <row r="178" spans="1:8" hidden="1" x14ac:dyDescent="0.2">
      <c r="A178" s="10">
        <f t="shared" si="20"/>
        <v>2019</v>
      </c>
      <c r="B178" t="s">
        <v>30</v>
      </c>
      <c r="C178" s="221">
        <v>0.58177978438251232</v>
      </c>
      <c r="D178" s="221">
        <v>0.26620147961661422</v>
      </c>
      <c r="E178" s="221">
        <v>7.1536807231091723E-2</v>
      </c>
      <c r="F178" s="221">
        <v>7.5010133271448107E-2</v>
      </c>
      <c r="G178" s="221">
        <v>5.4717954983336493E-3</v>
      </c>
      <c r="H178" s="221">
        <f t="shared" si="18"/>
        <v>1</v>
      </c>
    </row>
    <row r="179" spans="1:8" hidden="1" x14ac:dyDescent="0.2">
      <c r="A179" s="10">
        <f t="shared" si="20"/>
        <v>2019</v>
      </c>
      <c r="B179" t="s">
        <v>14</v>
      </c>
      <c r="C179" s="59">
        <v>0.5928424413013943</v>
      </c>
      <c r="D179" s="59">
        <v>0.25385805941629075</v>
      </c>
      <c r="E179" s="59">
        <v>7.2755683214463587E-2</v>
      </c>
      <c r="F179" s="59">
        <v>7.6728765755001579E-2</v>
      </c>
      <c r="G179" s="59">
        <v>3.815050312849586E-3</v>
      </c>
      <c r="H179" s="59">
        <f t="shared" si="18"/>
        <v>0.99999999999999978</v>
      </c>
    </row>
    <row r="180" spans="1:8" hidden="1" x14ac:dyDescent="0.2">
      <c r="A180" s="12">
        <f t="shared" si="20"/>
        <v>2019</v>
      </c>
      <c r="B180" s="13" t="s">
        <v>15</v>
      </c>
      <c r="C180" s="60">
        <v>0.59031004625186867</v>
      </c>
      <c r="D180" s="60">
        <v>0.25793608448184452</v>
      </c>
      <c r="E180" s="60">
        <v>7.2867318135072454E-2</v>
      </c>
      <c r="F180" s="60">
        <v>7.5964432758727954E-2</v>
      </c>
      <c r="G180" s="60">
        <v>2.9221183724864037E-3</v>
      </c>
      <c r="H180" s="60">
        <f t="shared" si="18"/>
        <v>1</v>
      </c>
    </row>
    <row r="181" spans="1:8" hidden="1" x14ac:dyDescent="0.2">
      <c r="A181" s="10">
        <f t="shared" si="20"/>
        <v>2019</v>
      </c>
      <c r="B181" t="s">
        <v>16</v>
      </c>
      <c r="C181" s="59">
        <v>0.59394512216501583</v>
      </c>
      <c r="D181" s="59">
        <v>0.25606912627222123</v>
      </c>
      <c r="E181" s="59">
        <v>7.239669300608588E-2</v>
      </c>
      <c r="F181" s="59">
        <v>7.5548902108750995E-2</v>
      </c>
      <c r="G181" s="59">
        <v>2.0401564479261007E-3</v>
      </c>
      <c r="H181" s="59">
        <f t="shared" si="18"/>
        <v>1</v>
      </c>
    </row>
    <row r="182" spans="1:8" hidden="1" x14ac:dyDescent="0.2">
      <c r="A182" s="10">
        <f t="shared" si="20"/>
        <v>2019</v>
      </c>
      <c r="B182" t="s">
        <v>17</v>
      </c>
      <c r="C182" s="59">
        <f>+'Indeks '!D188</f>
        <v>229.6</v>
      </c>
      <c r="D182" s="59">
        <v>0.25731506961507572</v>
      </c>
      <c r="E182" s="59">
        <v>7.2115833937968221E-2</v>
      </c>
      <c r="F182" s="59">
        <v>7.5257219304709772E-2</v>
      </c>
      <c r="G182" s="59">
        <v>2.5209992555079684E-3</v>
      </c>
      <c r="H182" s="59">
        <f t="shared" si="18"/>
        <v>230.00720912211327</v>
      </c>
    </row>
    <row r="183" spans="1:8" hidden="1" x14ac:dyDescent="0.2">
      <c r="A183" s="12">
        <f t="shared" si="20"/>
        <v>2019</v>
      </c>
      <c r="B183" s="13" t="s">
        <v>18</v>
      </c>
      <c r="C183" s="60">
        <v>0.5903568301604939</v>
      </c>
      <c r="D183" s="60">
        <v>0.25945717483275954</v>
      </c>
      <c r="E183" s="60">
        <v>7.2098903024698291E-2</v>
      </c>
      <c r="F183" s="60">
        <v>7.4803937131605297E-2</v>
      </c>
      <c r="G183" s="60">
        <v>3.2831548504427825E-3</v>
      </c>
      <c r="H183" s="60">
        <f t="shared" si="18"/>
        <v>0.99999999999999989</v>
      </c>
    </row>
    <row r="184" spans="1:8" hidden="1" x14ac:dyDescent="0.2">
      <c r="A184" s="2">
        <v>2020</v>
      </c>
      <c r="B184" t="s">
        <v>8</v>
      </c>
      <c r="C184" s="59">
        <f>+('Indeks '!C186/'Indeks '!C$187*'Indeks '!C$184)/('Indeks '!H186/'Indeks '!H$187)</f>
        <v>0.6276907766160067</v>
      </c>
      <c r="D184" s="59">
        <f>+('Indeks '!D186/'Indeks '!D$187*'Indeks '!D$184)/('Indeks '!H186/'Indeks '!H$187)</f>
        <v>0.21466512276119326</v>
      </c>
      <c r="E184" s="59">
        <f>+('Indeks '!E186/'Indeks '!E$187*'Indeks '!E$184)/('Indeks '!H186/'Indeks '!H$187)</f>
        <v>7.6068375737481403E-2</v>
      </c>
      <c r="F184" s="59">
        <f>+('Indeks '!F186/'Indeks '!F$187*'Indeks '!F$184)/('Indeks '!H186/'Indeks '!H$187)</f>
        <v>7.9227944727069052E-2</v>
      </c>
      <c r="G184" s="59">
        <f>+('Indeks '!G186/'Indeks '!G$187*'Indeks '!G$184)/('Indeks '!H186/'Indeks '!H$187)</f>
        <v>2.3477801582495531E-3</v>
      </c>
      <c r="H184" s="59">
        <f t="shared" ref="H184" si="21">SUM(C184:G184)</f>
        <v>1</v>
      </c>
    </row>
    <row r="185" spans="1:8" hidden="1" x14ac:dyDescent="0.2">
      <c r="A185" s="10">
        <f>A184</f>
        <v>2020</v>
      </c>
      <c r="B185" t="s">
        <v>9</v>
      </c>
      <c r="C185" s="59">
        <f>+('Indeks '!C187/'Indeks '!C$187*'Indeks '!C$184)/('Indeks '!H187/'Indeks '!H$187)</f>
        <v>0.62437330984782446</v>
      </c>
      <c r="D185" s="59">
        <f>+('Indeks '!D187/'Indeks '!D$187*'Indeks '!D$184)/('Indeks '!H187/'Indeks '!H$187)</f>
        <v>0.21756670770504191</v>
      </c>
      <c r="E185" s="59">
        <f>+('Indeks '!E187/'Indeks '!E$187*'Indeks '!E$184)/('Indeks '!H187/'Indeks '!H$187)</f>
        <v>7.5519557282073158E-2</v>
      </c>
      <c r="F185" s="59">
        <f>+('Indeks '!F187/'Indeks '!F$187*'Indeks '!F$184)/('Indeks '!H187/'Indeks '!H$187)</f>
        <v>7.8885060784657013E-2</v>
      </c>
      <c r="G185" s="59">
        <f>+('Indeks '!G187/'Indeks '!G$187*'Indeks '!G$184)/('Indeks '!H187/'Indeks '!H$187)</f>
        <v>3.6553643804033962E-3</v>
      </c>
      <c r="H185" s="59">
        <f t="shared" si="18"/>
        <v>1</v>
      </c>
    </row>
    <row r="186" spans="1:8" hidden="1" x14ac:dyDescent="0.2">
      <c r="A186" s="12">
        <f t="shared" ref="A186:A195" si="22">A185</f>
        <v>2020</v>
      </c>
      <c r="B186" s="13" t="s">
        <v>10</v>
      </c>
      <c r="C186" s="60">
        <f>+('Indeks '!C188/'Indeks '!C$187*'Indeks '!C$184)/('Indeks '!H188/'Indeks '!H$187)</f>
        <v>0.62243105549934941</v>
      </c>
      <c r="D186" s="60">
        <f>+('Indeks '!D188/'Indeks '!D$187*'Indeks '!D$184)/('Indeks '!H188/'Indeks '!H$187)</f>
        <v>0.21995549913934073</v>
      </c>
      <c r="E186" s="60">
        <f>+('Indeks '!E188/'Indeks '!E$187*'Indeks '!E$184)/('Indeks '!H188/'Indeks '!H$187)</f>
        <v>7.5357799536662801E-2</v>
      </c>
      <c r="F186" s="60">
        <f>+('Indeks '!F188/'Indeks '!F$187*'Indeks '!F$184)/('Indeks '!H188/'Indeks '!H$187)</f>
        <v>7.9320206581645972E-2</v>
      </c>
      <c r="G186" s="60">
        <f>+('Indeks '!G188/'Indeks '!G$187*'Indeks '!G$184)/('Indeks '!H188/'Indeks '!H$187)</f>
        <v>2.9354392430008648E-3</v>
      </c>
      <c r="H186" s="60">
        <f t="shared" ref="H186:H190" si="23">SUM(C186:G186)</f>
        <v>0.99999999999999978</v>
      </c>
    </row>
    <row r="187" spans="1:8" hidden="1" x14ac:dyDescent="0.2">
      <c r="A187" s="10">
        <f t="shared" si="22"/>
        <v>2020</v>
      </c>
      <c r="B187" t="s">
        <v>11</v>
      </c>
      <c r="C187" s="59">
        <f>+('Indeks '!C189/'Indeks '!C$187*'Indeks '!C$184)/('Indeks '!H189/'Indeks '!H$187)</f>
        <v>0.62822969712866494</v>
      </c>
      <c r="D187" s="59">
        <f>+('Indeks '!D189/'Indeks '!D$187*'Indeks '!D$184)/('Indeks '!H189/'Indeks '!H$187)</f>
        <v>0.21478983028393875</v>
      </c>
      <c r="E187" s="59">
        <f>+('Indeks '!E189/'Indeks '!E$187*'Indeks '!E$184)/('Indeks '!H189/'Indeks '!H$187)</f>
        <v>7.6173154868318674E-2</v>
      </c>
      <c r="F187" s="59">
        <f>+('Indeks '!F189/'Indeks '!F$187*'Indeks '!F$184)/('Indeks '!H189/'Indeks '!H$187)</f>
        <v>7.9790070990230902E-2</v>
      </c>
      <c r="G187" s="59">
        <f>+('Indeks '!G189/'Indeks '!G$187*'Indeks '!G$184)/('Indeks '!H189/'Indeks '!H$187)</f>
        <v>1.0172467288465758E-3</v>
      </c>
      <c r="H187" s="59">
        <f t="shared" si="23"/>
        <v>0.99999999999999989</v>
      </c>
    </row>
    <row r="188" spans="1:8" hidden="1" x14ac:dyDescent="0.2">
      <c r="A188" s="10">
        <f t="shared" si="22"/>
        <v>2020</v>
      </c>
      <c r="B188" t="s">
        <v>12</v>
      </c>
      <c r="C188" s="59">
        <f>+('Indeks '!C190/'Indeks '!C$187*'Indeks '!C$184)/('Indeks '!H190/'Indeks '!H$187)</f>
        <v>0.64389683295458766</v>
      </c>
      <c r="D188" s="59">
        <f>+('Indeks '!D190/'Indeks '!D$187*'Indeks '!D$184)/('Indeks '!H190/'Indeks '!H$187)</f>
        <v>0.1916289839896089</v>
      </c>
      <c r="E188" s="59">
        <f>+('Indeks '!E190/'Indeks '!E$187*'Indeks '!E$184)/('Indeks '!H190/'Indeks '!H$187)</f>
        <v>7.7846723126397635E-2</v>
      </c>
      <c r="F188" s="59">
        <f>+('Indeks '!F190/'Indeks '!F$187*'Indeks '!F$184)/('Indeks '!H190/'Indeks '!H$187)</f>
        <v>8.1935690700505159E-2</v>
      </c>
      <c r="G188" s="59">
        <f>+('Indeks '!G190/'Indeks '!G$187*'Indeks '!G$184)/('Indeks '!H190/'Indeks '!H$187)</f>
        <v>4.6917692289005141E-3</v>
      </c>
      <c r="H188" s="59">
        <f t="shared" si="23"/>
        <v>0.99999999999999989</v>
      </c>
    </row>
    <row r="189" spans="1:8" hidden="1" x14ac:dyDescent="0.2">
      <c r="A189" s="12">
        <f t="shared" si="22"/>
        <v>2020</v>
      </c>
      <c r="B189" s="13" t="s">
        <v>13</v>
      </c>
      <c r="C189" s="60">
        <f>+('Indeks '!C191/'Indeks '!C$187*'Indeks '!C$184)/('Indeks '!H191/'Indeks '!H$187)</f>
        <v>0.64929987174805825</v>
      </c>
      <c r="D189" s="60">
        <f>+('Indeks '!D191/'Indeks '!D$187*'Indeks '!D$184)/('Indeks '!H191/'Indeks '!H$187)</f>
        <v>0.18597317299992552</v>
      </c>
      <c r="E189" s="60">
        <f>+('Indeks '!E191/'Indeks '!E$187*'Indeks '!E$184)/('Indeks '!H191/'Indeks '!H$187)</f>
        <v>7.8423954922305306E-2</v>
      </c>
      <c r="F189" s="60">
        <f>+('Indeks '!F191/'Indeks '!F$187*'Indeks '!F$184)/('Indeks '!H191/'Indeks '!H$187)</f>
        <v>8.2623225865716729E-2</v>
      </c>
      <c r="G189" s="60">
        <f>+('Indeks '!G191/'Indeks '!G$187*'Indeks '!G$184)/('Indeks '!H191/'Indeks '!H$187)</f>
        <v>3.6797744639940023E-3</v>
      </c>
      <c r="H189" s="60">
        <f t="shared" si="23"/>
        <v>0.99999999999999978</v>
      </c>
    </row>
    <row r="190" spans="1:8" hidden="1" x14ac:dyDescent="0.2">
      <c r="A190" s="10">
        <f t="shared" si="22"/>
        <v>2020</v>
      </c>
      <c r="B190" t="s">
        <v>30</v>
      </c>
      <c r="C190" s="59">
        <f>+('Indeks '!C192/'Indeks '!C$187*'Indeks '!C$184)/('Indeks '!H192/'Indeks '!H$187)</f>
        <v>0.64507180940357067</v>
      </c>
      <c r="D190" s="59">
        <f>+('Indeks '!D192/'Indeks '!D$187*'Indeks '!D$184)/('Indeks '!H192/'Indeks '!H$187)</f>
        <v>0.19322179347176946</v>
      </c>
      <c r="E190" s="59">
        <f>+('Indeks '!E192/'Indeks '!E$187*'Indeks '!E$184)/('Indeks '!H192/'Indeks '!H$187)</f>
        <v>7.7503714578594576E-2</v>
      </c>
      <c r="F190" s="59">
        <f>+('Indeks '!F192/'Indeks '!F$187*'Indeks '!F$184)/('Indeks '!H192/'Indeks '!H$187)</f>
        <v>8.1810601980203748E-2</v>
      </c>
      <c r="G190" s="59">
        <f>+('Indeks '!G192/'Indeks '!G$187*'Indeks '!G$184)/('Indeks '!H192/'Indeks '!H$187)</f>
        <v>2.3920805658612537E-3</v>
      </c>
      <c r="H190" s="59">
        <f t="shared" si="23"/>
        <v>0.99999999999999978</v>
      </c>
    </row>
    <row r="191" spans="1:8" hidden="1" x14ac:dyDescent="0.2">
      <c r="A191" s="10">
        <f t="shared" si="22"/>
        <v>2020</v>
      </c>
      <c r="B191" t="s">
        <v>14</v>
      </c>
      <c r="C191" s="59">
        <f>+('Indeks '!C193/'Indeks '!C$187*'Indeks '!C$184)/('Indeks '!H193/'Indeks '!H$187)</f>
        <v>0.64170605236618761</v>
      </c>
      <c r="D191" s="59">
        <f>+('Indeks '!D193/'Indeks '!D$187*'Indeks '!D$184)/('Indeks '!H193/'Indeks '!H$187)</f>
        <v>0.19730538214413718</v>
      </c>
      <c r="E191" s="59">
        <f>+('Indeks '!E193/'Indeks '!E$187*'Indeks '!E$184)/('Indeks '!H193/'Indeks '!H$187)</f>
        <v>7.7174108662221005E-2</v>
      </c>
      <c r="F191" s="59">
        <f>+('Indeks '!F193/'Indeks '!F$187*'Indeks '!F$184)/('Indeks '!H193/'Indeks '!H$187)</f>
        <v>8.1538318143043853E-2</v>
      </c>
      <c r="G191" s="59">
        <f>+('Indeks '!G193/'Indeks '!G$187*'Indeks '!G$184)/('Indeks '!H193/'Indeks '!H$187)</f>
        <v>2.2761386844101028E-3</v>
      </c>
      <c r="H191" s="59">
        <f t="shared" ref="H191:H207" si="24">SUM(C191:G191)</f>
        <v>0.99999999999999978</v>
      </c>
    </row>
    <row r="192" spans="1:8" hidden="1" x14ac:dyDescent="0.2">
      <c r="A192" s="12">
        <f t="shared" si="22"/>
        <v>2020</v>
      </c>
      <c r="B192" s="13" t="s">
        <v>15</v>
      </c>
      <c r="C192" s="60">
        <f>+('Indeks '!C194/'Indeks '!C$187*'Indeks '!C$184)/('Indeks '!H194/'Indeks '!H$187)</f>
        <v>0.63793281926340617</v>
      </c>
      <c r="D192" s="60">
        <f>+('Indeks '!D194/'Indeks '!D$187*'Indeks '!D$184)/('Indeks '!H194/'Indeks '!H$187)</f>
        <v>0.20179109357965011</v>
      </c>
      <c r="E192" s="60">
        <f>+('Indeks '!E194/'Indeks '!E$187*'Indeks '!E$184)/('Indeks '!H194/'Indeks '!H$187)</f>
        <v>7.7315055920491482E-2</v>
      </c>
      <c r="F192" s="60">
        <f>+('Indeks '!F194/'Indeks '!F$187*'Indeks '!F$184)/('Indeks '!H194/'Indeks '!H$187)</f>
        <v>8.1212538749146093E-2</v>
      </c>
      <c r="G192" s="60">
        <f>+('Indeks '!G194/'Indeks '!G$187*'Indeks '!G$184)/('Indeks '!H194/'Indeks '!H$187)</f>
        <v>1.7484924873060355E-3</v>
      </c>
      <c r="H192" s="60">
        <f t="shared" si="24"/>
        <v>0.99999999999999989</v>
      </c>
    </row>
    <row r="193" spans="1:22" hidden="1" x14ac:dyDescent="0.2">
      <c r="A193" s="10">
        <f t="shared" si="22"/>
        <v>2020</v>
      </c>
      <c r="B193" t="s">
        <v>16</v>
      </c>
      <c r="C193" s="59">
        <f>+('Indeks '!C195/'Indeks '!C$187*'Indeks '!C$184)/('Indeks '!H195/'Indeks '!H$187)</f>
        <v>0.63799761317621562</v>
      </c>
      <c r="D193" s="59">
        <f>+('Indeks '!D195/'Indeks '!D$187*'Indeks '!D$184)/('Indeks '!H195/'Indeks '!H$187)</f>
        <v>0.2017211806032928</v>
      </c>
      <c r="E193" s="59">
        <f>+('Indeks '!E195/'Indeks '!E$187*'Indeks '!E$184)/('Indeks '!H195/'Indeks '!H$187)</f>
        <v>7.6805753943463728E-2</v>
      </c>
      <c r="F193" s="59">
        <f>+('Indeks '!F195/'Indeks '!F$187*'Indeks '!F$184)/('Indeks '!H195/'Indeks '!H$187)</f>
        <v>8.1218923916092117E-2</v>
      </c>
      <c r="G193" s="59">
        <f>+('Indeks '!G195/'Indeks '!G$187*'Indeks '!G$184)/('Indeks '!H195/'Indeks '!H$187)</f>
        <v>2.2565283609353756E-3</v>
      </c>
      <c r="H193" s="59">
        <f t="shared" si="24"/>
        <v>0.99999999999999967</v>
      </c>
    </row>
    <row r="194" spans="1:22" hidden="1" x14ac:dyDescent="0.2">
      <c r="A194" s="10">
        <f t="shared" si="22"/>
        <v>2020</v>
      </c>
      <c r="B194" t="s">
        <v>17</v>
      </c>
      <c r="C194" s="59">
        <f>+('Indeks '!C196/'Indeks '!C$187*'Indeks '!C$184)/('Indeks '!H196/'Indeks '!H$187)</f>
        <v>0.63608031295035228</v>
      </c>
      <c r="D194" s="59">
        <f>+('Indeks '!D196/'Indeks '!D$187*'Indeks '!D$184)/('Indeks '!H196/'Indeks '!H$187)</f>
        <v>0.20498628936056851</v>
      </c>
      <c r="E194" s="59">
        <f>+('Indeks '!E196/'Indeks '!E$187*'Indeks '!E$184)/('Indeks '!H196/'Indeks '!H$187)</f>
        <v>7.6501024486477096E-2</v>
      </c>
      <c r="F194" s="59">
        <f>+('Indeks '!F196/'Indeks '!F$187*'Indeks '!F$184)/('Indeks '!H196/'Indeks '!H$187)</f>
        <v>8.0898454740338702E-2</v>
      </c>
      <c r="G194" s="59">
        <f>+('Indeks '!G196/'Indeks '!G$187*'Indeks '!G$184)/('Indeks '!H196/'Indeks '!H$187)</f>
        <v>1.5339184622630596E-3</v>
      </c>
      <c r="H194" s="59">
        <f t="shared" si="24"/>
        <v>0.99999999999999967</v>
      </c>
    </row>
    <row r="195" spans="1:22" hidden="1" x14ac:dyDescent="0.2">
      <c r="A195" s="12">
        <f t="shared" si="22"/>
        <v>2020</v>
      </c>
      <c r="B195" s="13" t="s">
        <v>18</v>
      </c>
      <c r="C195" s="60">
        <f>+('Indeks '!C197/'Indeks '!C$187*'Indeks '!C$184)/('Indeks '!H197/'Indeks '!H$187)</f>
        <v>0.63623101605243315</v>
      </c>
      <c r="D195" s="60">
        <f>+('Indeks '!D197/'Indeks '!D$187*'Indeks '!D$184)/('Indeks '!H197/'Indeks '!H$187)</f>
        <v>0.2055188850686292</v>
      </c>
      <c r="E195" s="60">
        <f>+('Indeks '!E197/'Indeks '!E$187*'Indeks '!E$184)/('Indeks '!H197/'Indeks '!H$187)</f>
        <v>7.6667012555267533E-2</v>
      </c>
      <c r="F195" s="60">
        <f>+('Indeks '!F197/'Indeks '!F$187*'Indeks '!F$184)/('Indeks '!H197/'Indeks '!H$187)</f>
        <v>8.0764802651483628E-2</v>
      </c>
      <c r="G195" s="60">
        <f>+('Indeks '!G197/'Indeks '!G$187*'Indeks '!G$184)/('Indeks '!H197/'Indeks '!H$187)</f>
        <v>8.182836721864384E-4</v>
      </c>
      <c r="H195" s="60">
        <f t="shared" si="24"/>
        <v>0.99999999999999989</v>
      </c>
      <c r="S195" s="244"/>
    </row>
    <row r="196" spans="1:22" hidden="1" x14ac:dyDescent="0.2">
      <c r="A196" s="2">
        <v>2021</v>
      </c>
      <c r="B196" t="s">
        <v>8</v>
      </c>
      <c r="C196" s="59">
        <f>+('Indeks '!C198/'Indeks '!C$187*'Indeks '!C$184)/('Indeks '!H198/'Indeks '!H$187)</f>
        <v>0.62073502653618784</v>
      </c>
      <c r="D196" s="59">
        <f>+('Indeks '!D198/'Indeks '!D$187*'Indeks '!D$184)/('Indeks '!H198/'Indeks '!H$187)</f>
        <v>0.22482582894235781</v>
      </c>
      <c r="E196" s="59">
        <f>+('Indeks '!E198/'Indeks '!E$187*'Indeks '!E$184)/('Indeks '!H198/'Indeks '!H$187)</f>
        <v>7.4303600017207094E-2</v>
      </c>
      <c r="F196" s="59">
        <f>+('Indeks '!F198/'Indeks '!F$187*'Indeks '!F$184)/('Indeks '!H198/'Indeks '!H$187)</f>
        <v>7.8647124584072595E-2</v>
      </c>
      <c r="G196" s="59">
        <f>+('Indeks '!G198/'Indeks '!G$187*'Indeks '!G$184)/('Indeks '!H198/'Indeks '!H$187)</f>
        <v>1.4884199201744969E-3</v>
      </c>
      <c r="H196" s="59">
        <f t="shared" si="24"/>
        <v>0.99999999999999978</v>
      </c>
      <c r="T196" s="245"/>
    </row>
    <row r="197" spans="1:22" hidden="1" x14ac:dyDescent="0.2">
      <c r="A197" s="10">
        <f>A196</f>
        <v>2021</v>
      </c>
      <c r="B197" t="s">
        <v>9</v>
      </c>
      <c r="C197" s="59">
        <f>+('Indeks '!C199/'Indeks '!C$187*'Indeks '!C$184)/('Indeks '!H199/'Indeks '!H$187)</f>
        <v>0.62171598165910091</v>
      </c>
      <c r="D197" s="59">
        <f>+('Indeks '!D199/'Indeks '!D$187*'Indeks '!D$184)/('Indeks '!H199/'Indeks '!H$187)</f>
        <v>0.22555736641761584</v>
      </c>
      <c r="E197" s="59">
        <f>+('Indeks '!E199/'Indeks '!E$187*'Indeks '!E$184)/('Indeks '!H199/'Indeks '!H$187)</f>
        <v>7.4277352972942287E-2</v>
      </c>
      <c r="F197" s="59">
        <f>+('Indeks '!F199/'Indeks '!F$187*'Indeks '!F$184)/('Indeks '!H199/'Indeks '!H$187)</f>
        <v>7.854868375622745E-2</v>
      </c>
      <c r="G197" s="59">
        <f>+('Indeks '!G199/'Indeks '!G$187*'Indeks '!G$184)/('Indeks '!H199/'Indeks '!H$187)</f>
        <v>-9.9384805886874942E-5</v>
      </c>
      <c r="H197" s="59">
        <f t="shared" si="24"/>
        <v>0.99999999999999944</v>
      </c>
    </row>
    <row r="198" spans="1:22" hidden="1" x14ac:dyDescent="0.2">
      <c r="A198" s="12">
        <f t="shared" ref="A198:A207" si="25">A197</f>
        <v>2021</v>
      </c>
      <c r="B198" s="13" t="s">
        <v>10</v>
      </c>
      <c r="C198" s="60">
        <f>+('Indeks '!C200/'Indeks '!C$187*'Indeks '!C$184)/('Indeks '!H200/'Indeks '!H$187)</f>
        <v>0.61454482643200703</v>
      </c>
      <c r="D198" s="60">
        <f>+('Indeks '!D200/'Indeks '!D$187*'Indeks '!D$184)/('Indeks '!H200/'Indeks '!H$187)</f>
        <v>0.23206730186727234</v>
      </c>
      <c r="E198" s="60">
        <f>+('Indeks '!E200/'Indeks '!E$187*'Indeks '!E$184)/('Indeks '!H200/'Indeks '!H$187)</f>
        <v>7.3562616936013583E-2</v>
      </c>
      <c r="F198" s="60">
        <f>+('Indeks '!F200/'Indeks '!F$187*'Indeks '!F$184)/('Indeks '!H200/'Indeks '!H$187)</f>
        <v>7.8449916376766071E-2</v>
      </c>
      <c r="G198" s="60">
        <f>+('Indeks '!G200/'Indeks '!G$187*'Indeks '!G$184)/('Indeks '!H200/'Indeks '!H$187)</f>
        <v>1.3753383879410188E-3</v>
      </c>
      <c r="H198" s="60">
        <f t="shared" si="24"/>
        <v>1.0000000000000002</v>
      </c>
    </row>
    <row r="199" spans="1:22" hidden="1" x14ac:dyDescent="0.2">
      <c r="A199" s="10">
        <f t="shared" si="25"/>
        <v>2021</v>
      </c>
      <c r="B199" t="s">
        <v>11</v>
      </c>
      <c r="C199" s="59">
        <f>+('Indeks '!C201/'Indeks '!C$187*'Indeks '!C$184)/('Indeks '!H201/'Indeks '!H$187)</f>
        <v>0.59920072152908754</v>
      </c>
      <c r="D199" s="59">
        <f>+('Indeks '!D201/'Indeks '!D$187*'Indeks '!D$184)/('Indeks '!H201/'Indeks '!H$187)</f>
        <v>0.24950659571301517</v>
      </c>
      <c r="E199" s="59">
        <f>+('Indeks '!E201/'Indeks '!E$187*'Indeks '!E$184)/('Indeks '!H201/'Indeks '!H$187)</f>
        <v>7.183560506729654E-2</v>
      </c>
      <c r="F199" s="59">
        <f>+('Indeks '!F201/'Indeks '!F$187*'Indeks '!F$184)/('Indeks '!H201/'Indeks '!H$187)</f>
        <v>7.6309546160703623E-2</v>
      </c>
      <c r="G199" s="59">
        <f>+('Indeks '!G201/'Indeks '!G$187*'Indeks '!G$184)/('Indeks '!H201/'Indeks '!H$187)</f>
        <v>3.1475315298968676E-3</v>
      </c>
      <c r="H199" s="59">
        <f t="shared" si="24"/>
        <v>0.99999999999999978</v>
      </c>
    </row>
    <row r="200" spans="1:22" hidden="1" x14ac:dyDescent="0.2">
      <c r="A200" s="10">
        <f t="shared" si="25"/>
        <v>2021</v>
      </c>
      <c r="B200" t="s">
        <v>12</v>
      </c>
      <c r="C200" s="59">
        <f>+('Indeks '!C202/'Indeks '!C$187*'Indeks '!C$184)/('Indeks '!H202/'Indeks '!H$187)</f>
        <v>0.59240270246533877</v>
      </c>
      <c r="D200" s="59">
        <f>+('Indeks '!D202/'Indeks '!D$187*'Indeks '!D$184)/('Indeks '!H202/'Indeks '!H$187)</f>
        <v>0.25649296574453961</v>
      </c>
      <c r="E200" s="59">
        <f>+('Indeks '!E202/'Indeks '!E$187*'Indeks '!E$184)/('Indeks '!H202/'Indeks '!H$187)</f>
        <v>7.1088777696745903E-2</v>
      </c>
      <c r="F200" s="59">
        <f>+('Indeks '!F202/'Indeks '!F$187*'Indeks '!F$184)/('Indeks '!H202/'Indeks '!H$187)</f>
        <v>7.5866457655601863E-2</v>
      </c>
      <c r="G200" s="59">
        <f>+('Indeks '!G202/'Indeks '!G$187*'Indeks '!G$184)/('Indeks '!H202/'Indeks '!H$187)</f>
        <v>4.149096437773568E-3</v>
      </c>
      <c r="H200" s="59">
        <f t="shared" si="24"/>
        <v>0.99999999999999978</v>
      </c>
      <c r="V200" s="242"/>
    </row>
    <row r="201" spans="1:22" hidden="1" x14ac:dyDescent="0.2">
      <c r="A201" s="12">
        <f t="shared" si="25"/>
        <v>2021</v>
      </c>
      <c r="B201" s="13" t="s">
        <v>13</v>
      </c>
      <c r="C201" s="60">
        <f>+('Indeks '!C203/'Indeks '!C$187*'Indeks '!C$184)/('Indeks '!H203/'Indeks '!H$187)</f>
        <v>0.58482735250313578</v>
      </c>
      <c r="D201" s="60">
        <f>+('Indeks '!D203/'Indeks '!D$187*'Indeks '!D$184)/('Indeks '!H203/'Indeks '!H$187)</f>
        <v>0.26598825103812029</v>
      </c>
      <c r="E201" s="60">
        <f>+('Indeks '!E203/'Indeks '!E$187*'Indeks '!E$184)/('Indeks '!H203/'Indeks '!H$187)</f>
        <v>7.0448875559806112E-2</v>
      </c>
      <c r="F201" s="60">
        <f>+('Indeks '!F203/'Indeks '!F$187*'Indeks '!F$184)/('Indeks '!H203/'Indeks '!H$187)</f>
        <v>7.5104940110176946E-2</v>
      </c>
      <c r="G201" s="60">
        <f>+('Indeks '!G203/'Indeks '!G$187*'Indeks '!G$184)/('Indeks '!H203/'Indeks '!H$187)</f>
        <v>3.6305807887608331E-3</v>
      </c>
      <c r="H201" s="60">
        <f t="shared" si="24"/>
        <v>1</v>
      </c>
    </row>
    <row r="202" spans="1:22" hidden="1" x14ac:dyDescent="0.2">
      <c r="A202" s="10">
        <f t="shared" si="25"/>
        <v>2021</v>
      </c>
      <c r="B202" t="s">
        <v>30</v>
      </c>
      <c r="C202" s="59">
        <f>+('Indeks '!C204/'Indeks '!C$187*'Indeks '!C$184)/('Indeks '!H204/'Indeks '!H$187)</f>
        <v>0.56446480941107302</v>
      </c>
      <c r="D202" s="59">
        <f>+('Indeks '!D204/'Indeks '!D$187*'Indeks '!D$184)/('Indeks '!H204/'Indeks '!H$187)</f>
        <v>0.29148959108951594</v>
      </c>
      <c r="E202" s="59">
        <f>+('Indeks '!E204/'Indeks '!E$187*'Indeks '!E$184)/('Indeks '!H204/'Indeks '!H$187)</f>
        <v>6.7648129914826285E-2</v>
      </c>
      <c r="F202" s="59">
        <f>+('Indeks '!F204/'Indeks '!F$187*'Indeks '!F$184)/('Indeks '!H204/'Indeks '!H$187)</f>
        <v>7.211488786631029E-2</v>
      </c>
      <c r="G202" s="59">
        <f>+('Indeks '!G204/'Indeks '!G$187*'Indeks '!G$184)/('Indeks '!H204/'Indeks '!H$187)</f>
        <v>4.2825817182744405E-3</v>
      </c>
      <c r="H202" s="59">
        <f t="shared" si="24"/>
        <v>1</v>
      </c>
    </row>
    <row r="203" spans="1:22" hidden="1" x14ac:dyDescent="0.2">
      <c r="A203" s="10">
        <f t="shared" si="25"/>
        <v>2021</v>
      </c>
      <c r="B203" t="s">
        <v>14</v>
      </c>
      <c r="C203" s="59">
        <f>+('Indeks '!C205/'Indeks '!C$187*'Indeks '!C$184)/('Indeks '!H205/'Indeks '!H$187)</f>
        <v>0.56299095975814162</v>
      </c>
      <c r="D203" s="59">
        <f>+('Indeks '!D205/'Indeks '!D$187*'Indeks '!D$184)/('Indeks '!H205/'Indeks '!H$187)</f>
        <v>0.29367620592298943</v>
      </c>
      <c r="E203" s="59">
        <f>+('Indeks '!E205/'Indeks '!E$187*'Indeks '!E$184)/('Indeks '!H205/'Indeks '!H$187)</f>
        <v>6.7535816633691306E-2</v>
      </c>
      <c r="F203" s="59">
        <f>+('Indeks '!F205/'Indeks '!F$187*'Indeks '!F$184)/('Indeks '!H205/'Indeks '!H$187)</f>
        <v>7.2059542987616826E-2</v>
      </c>
      <c r="G203" s="59">
        <f>+('Indeks '!G205/'Indeks '!G$187*'Indeks '!G$184)/('Indeks '!H205/'Indeks '!H$187)</f>
        <v>3.737474697560595E-3</v>
      </c>
      <c r="H203" s="59">
        <f t="shared" si="24"/>
        <v>0.99999999999999989</v>
      </c>
    </row>
    <row r="204" spans="1:22" hidden="1" x14ac:dyDescent="0.2">
      <c r="A204" s="12">
        <f t="shared" si="25"/>
        <v>2021</v>
      </c>
      <c r="B204" s="13" t="s">
        <v>15</v>
      </c>
      <c r="C204" s="60">
        <f>+('Indeks '!C206/'Indeks '!C$187*'Indeks '!C$184)/('Indeks '!H206/'Indeks '!H$187)</f>
        <v>0.57979589653839536</v>
      </c>
      <c r="D204" s="60">
        <f>+('Indeks '!D206/'Indeks '!D$187*'Indeks '!D$184)/('Indeks '!H206/'Indeks '!H$187)</f>
        <v>0.27251895205348659</v>
      </c>
      <c r="E204" s="60">
        <f>+('Indeks '!E206/'Indeks '!E$187*'Indeks '!E$184)/('Indeks '!H206/'Indeks '!H$187)</f>
        <v>7.0015397700538745E-2</v>
      </c>
      <c r="F204" s="60">
        <f>+('Indeks '!F206/'Indeks '!F$187*'Indeks '!F$184)/('Indeks '!H206/'Indeks '!H$187)</f>
        <v>7.4278936245712746E-2</v>
      </c>
      <c r="G204" s="60">
        <f>+('Indeks '!G206/'Indeks '!G$187*'Indeks '!G$184)/('Indeks '!H206/'Indeks '!H$187)</f>
        <v>3.3908174618667596E-3</v>
      </c>
      <c r="H204" s="60">
        <f t="shared" si="24"/>
        <v>1.0000000000000002</v>
      </c>
    </row>
    <row r="205" spans="1:22" hidden="1" x14ac:dyDescent="0.2">
      <c r="A205" s="10">
        <f t="shared" si="25"/>
        <v>2021</v>
      </c>
      <c r="B205" t="s">
        <v>16</v>
      </c>
      <c r="C205" s="59">
        <f>+('Indeks '!C207/'Indeks '!C$187*'Indeks '!C$184)/('Indeks '!H207/'Indeks '!H$187)</f>
        <v>0.57183201285688212</v>
      </c>
      <c r="D205" s="59">
        <f>+('Indeks '!D207/'Indeks '!D$187*'Indeks '!D$184)/('Indeks '!H207/'Indeks '!H$187)</f>
        <v>0.2837549273081646</v>
      </c>
      <c r="E205" s="59">
        <f>+('Indeks '!E207/'Indeks '!E$187*'Indeks '!E$184)/('Indeks '!H207/'Indeks '!H$187)</f>
        <v>6.8205579705516287E-2</v>
      </c>
      <c r="F205" s="59">
        <f>+('Indeks '!F207/'Indeks '!F$187*'Indeks '!F$184)/('Indeks '!H207/'Indeks '!H$187)</f>
        <v>7.2629717277800626E-2</v>
      </c>
      <c r="G205" s="59">
        <f>+('Indeks '!G207/'Indeks '!G$187*'Indeks '!G$184)/('Indeks '!H207/'Indeks '!H$187)</f>
        <v>3.5777628516362433E-3</v>
      </c>
      <c r="H205" s="59">
        <f t="shared" si="24"/>
        <v>0.99999999999999989</v>
      </c>
    </row>
    <row r="206" spans="1:22" hidden="1" x14ac:dyDescent="0.2">
      <c r="A206" s="10">
        <f t="shared" si="25"/>
        <v>2021</v>
      </c>
      <c r="B206" t="s">
        <v>17</v>
      </c>
      <c r="C206" s="59">
        <f>+('Indeks '!C208/'Indeks '!C$187*'Indeks '!C$184)/('Indeks '!H208/'Indeks '!H$187)</f>
        <v>0.55719533151956557</v>
      </c>
      <c r="D206" s="59">
        <f>+('Indeks '!D208/'Indeks '!D$187*'Indeks '!D$184)/('Indeks '!H208/'Indeks '!H$187)</f>
        <v>0.30107262585594191</v>
      </c>
      <c r="E206" s="59">
        <f>+('Indeks '!E208/'Indeks '!E$187*'Indeks '!E$184)/('Indeks '!H208/'Indeks '!H$187)</f>
        <v>6.6648766601607637E-2</v>
      </c>
      <c r="F206" s="59">
        <f>+('Indeks '!F208/'Indeks '!F$187*'Indeks '!F$184)/('Indeks '!H208/'Indeks '!H$187)</f>
        <v>7.1161316771620978E-2</v>
      </c>
      <c r="G206" s="59">
        <f>+('Indeks '!G208/'Indeks '!G$187*'Indeks '!G$184)/('Indeks '!H208/'Indeks '!H$187)</f>
        <v>3.9219592512637546E-3</v>
      </c>
      <c r="H206" s="59">
        <f t="shared" si="24"/>
        <v>0.99999999999999978</v>
      </c>
    </row>
    <row r="207" spans="1:22" hidden="1" x14ac:dyDescent="0.2">
      <c r="A207" s="12">
        <f t="shared" si="25"/>
        <v>2021</v>
      </c>
      <c r="B207" s="288" t="s">
        <v>18</v>
      </c>
      <c r="C207" s="60">
        <f>+('Indeks '!C209/'Indeks '!C$187*'Indeks '!C$184)/('Indeks '!H209/'Indeks '!H$187)</f>
        <v>0.53944954244014853</v>
      </c>
      <c r="D207" s="60">
        <f>+('Indeks '!D209/'Indeks '!D$187*'Indeks '!D$184)/('Indeks '!H209/'Indeks '!H$187)</f>
        <v>0.32206978840866191</v>
      </c>
      <c r="E207" s="60">
        <f>+('Indeks '!E209/'Indeks '!E$187*'Indeks '!E$184)/('Indeks '!H209/'Indeks '!H$187)</f>
        <v>6.513599652085679E-2</v>
      </c>
      <c r="F207" s="60">
        <f>+('Indeks '!F209/'Indeks '!F$187*'Indeks '!F$184)/('Indeks '!H209/'Indeks '!H$187)</f>
        <v>6.9210105921747492E-2</v>
      </c>
      <c r="G207" s="60">
        <f>+('Indeks '!G209/'Indeks '!G$187*'Indeks '!G$184)/('Indeks '!H209/'Indeks '!H$187)</f>
        <v>4.1345667085851542E-3</v>
      </c>
      <c r="H207" s="60">
        <f t="shared" si="24"/>
        <v>0.99999999999999989</v>
      </c>
    </row>
    <row r="208" spans="1:22" x14ac:dyDescent="0.2">
      <c r="A208" s="2">
        <v>2022</v>
      </c>
      <c r="B208" t="s">
        <v>8</v>
      </c>
      <c r="C208" s="59">
        <f>+('Indeks '!C210/'Indeks '!C$187*'Indeks '!C$184)/('Indeks '!H210/'Indeks '!H$187)</f>
        <v>0.5333463632077351</v>
      </c>
      <c r="D208" s="59">
        <f>+('Indeks '!D210/'Indeks '!D$187*'Indeks '!D$184)/('Indeks '!H210/'Indeks '!H$187)</f>
        <v>0.33095843119156659</v>
      </c>
      <c r="E208" s="59">
        <f>+('Indeks '!E210/'Indeks '!E$187*'Indeks '!E$184)/('Indeks '!H210/'Indeks '!H$187)</f>
        <v>6.4223413433032575E-2</v>
      </c>
      <c r="F208" s="59">
        <f>+('Indeks '!F210/'Indeks '!F$187*'Indeks '!F$184)/('Indeks '!H210/'Indeks '!H$187)</f>
        <v>6.7987317447270712E-2</v>
      </c>
      <c r="G208" s="59">
        <f>+('Indeks '!G210/'Indeks '!G$187*'Indeks '!G$184)/('Indeks '!H210/'Indeks '!H$187)</f>
        <v>3.4844747203946571E-3</v>
      </c>
      <c r="H208" s="59">
        <f t="shared" ref="H208:H219" si="26">SUM(C208:G208)</f>
        <v>0.99999999999999967</v>
      </c>
    </row>
    <row r="209" spans="1:8" x14ac:dyDescent="0.2">
      <c r="A209" s="10">
        <f>A208</f>
        <v>2022</v>
      </c>
      <c r="B209" t="s">
        <v>9</v>
      </c>
      <c r="C209" s="59">
        <f>+('Indeks '!C211/'Indeks '!C$187*'Indeks '!C$184)/('Indeks '!H211/'Indeks '!H$187)</f>
        <v>0.53032340212786855</v>
      </c>
      <c r="D209" s="59">
        <f>+('Indeks '!D211/'Indeks '!D$187*'Indeks '!D$184)/('Indeks '!H211/'Indeks '!H$187)</f>
        <v>0.33368896289650291</v>
      </c>
      <c r="E209" s="59">
        <f>+('Indeks '!E211/'Indeks '!E$187*'Indeks '!E$184)/('Indeks '!H211/'Indeks '!H$187)</f>
        <v>6.356127088927678E-2</v>
      </c>
      <c r="F209" s="59">
        <f>+('Indeks '!F211/'Indeks '!F$187*'Indeks '!F$184)/('Indeks '!H211/'Indeks '!H$187)</f>
        <v>6.797171763347272E-2</v>
      </c>
      <c r="G209" s="59">
        <f>+('Indeks '!G211/'Indeks '!G$187*'Indeks '!G$184)/('Indeks '!H211/'Indeks '!H$187)</f>
        <v>4.4546464528788573E-3</v>
      </c>
      <c r="H209" s="59">
        <f t="shared" si="26"/>
        <v>0.99999999999999978</v>
      </c>
    </row>
    <row r="210" spans="1:8" x14ac:dyDescent="0.2">
      <c r="A210" s="12">
        <f t="shared" ref="A210:A219" si="27">A209</f>
        <v>2022</v>
      </c>
      <c r="B210" s="13" t="s">
        <v>10</v>
      </c>
      <c r="C210" s="60">
        <f>+('Indeks '!C212/'Indeks '!C$187*'Indeks '!C$184)/('Indeks '!H212/'Indeks '!H$187)</f>
        <v>0.52845639350607387</v>
      </c>
      <c r="D210" s="60">
        <f>+('Indeks '!D212/'Indeks '!D$187*'Indeks '!D$184)/('Indeks '!H212/'Indeks '!H$187)</f>
        <v>0.33204741190399967</v>
      </c>
      <c r="E210" s="60">
        <f>+('Indeks '!E212/'Indeks '!E$187*'Indeks '!E$184)/('Indeks '!H212/'Indeks '!H$187)</f>
        <v>6.4228743484600337E-2</v>
      </c>
      <c r="F210" s="60">
        <f>+('Indeks '!F212/'Indeks '!F$187*'Indeks '!F$184)/('Indeks '!H212/'Indeks '!H$187)</f>
        <v>6.9513238736562927E-2</v>
      </c>
      <c r="G210" s="60">
        <f>+('Indeks '!G212/'Indeks '!G$187*'Indeks '!G$184)/('Indeks '!H212/'Indeks '!H$187)</f>
        <v>5.7542123687630556E-3</v>
      </c>
      <c r="H210" s="60">
        <f t="shared" si="26"/>
        <v>0.99999999999999978</v>
      </c>
    </row>
    <row r="211" spans="1:8" x14ac:dyDescent="0.2">
      <c r="A211" s="17">
        <f t="shared" si="27"/>
        <v>2022</v>
      </c>
      <c r="B211" s="18" t="s">
        <v>11</v>
      </c>
      <c r="C211" s="59">
        <f>+('Indeks '!C213/'Indeks '!C$187*'Indeks '!C$184)/('Indeks '!H213/'Indeks '!H$187)</f>
        <v>0.53456000181179486</v>
      </c>
      <c r="D211" s="59">
        <f>+('Indeks '!D213/'Indeks '!D$187*'Indeks '!D$184)/('Indeks '!H213/'Indeks '!H$187)</f>
        <v>0.32089512795676922</v>
      </c>
      <c r="E211" s="59">
        <f>+('Indeks '!E213/'Indeks '!E$187*'Indeks '!E$184)/('Indeks '!H213/'Indeks '!H$187)</f>
        <v>6.5496100331446303E-2</v>
      </c>
      <c r="F211" s="59">
        <f>+('Indeks '!F213/'Indeks '!F$187*'Indeks '!F$184)/('Indeks '!H213/'Indeks '!H$187)</f>
        <v>7.041878058894914E-2</v>
      </c>
      <c r="G211" s="59">
        <f>+('Indeks '!G213/'Indeks '!G$187*'Indeks '!G$184)/('Indeks '!H213/'Indeks '!H$187)</f>
        <v>8.6299893110401062E-3</v>
      </c>
      <c r="H211" s="59">
        <f t="shared" si="26"/>
        <v>0.99999999999999956</v>
      </c>
    </row>
    <row r="212" spans="1:8" x14ac:dyDescent="0.2">
      <c r="A212" s="10">
        <f t="shared" si="27"/>
        <v>2022</v>
      </c>
      <c r="B212" t="s">
        <v>12</v>
      </c>
      <c r="C212" s="59">
        <f>+('Indeks '!C214/'Indeks '!C$187*'Indeks '!C$184)/('Indeks '!H214/'Indeks '!H$187)</f>
        <v>0.48985467072559974</v>
      </c>
      <c r="D212" s="59">
        <f>+('Indeks '!D214/'Indeks '!D$187*'Indeks '!D$184)/('Indeks '!H214/'Indeks '!H$187)</f>
        <v>0.37566960456161858</v>
      </c>
      <c r="E212" s="59">
        <f>+('Indeks '!E214/'Indeks '!E$187*'Indeks '!E$184)/('Indeks '!H214/'Indeks '!H$187)</f>
        <v>6.0403386835398892E-2</v>
      </c>
      <c r="F212" s="59">
        <f>+('Indeks '!F214/'Indeks '!F$187*'Indeks '!F$184)/('Indeks '!H214/'Indeks '!H$187)</f>
        <v>6.4643256210080338E-2</v>
      </c>
      <c r="G212" s="59">
        <f>+('Indeks '!G214/'Indeks '!G$187*'Indeks '!G$184)/('Indeks '!H214/'Indeks '!H$187)</f>
        <v>9.4290816673023893E-3</v>
      </c>
      <c r="H212" s="59">
        <f t="shared" si="26"/>
        <v>1</v>
      </c>
    </row>
    <row r="213" spans="1:8" x14ac:dyDescent="0.2">
      <c r="A213" s="12">
        <f t="shared" si="27"/>
        <v>2022</v>
      </c>
      <c r="B213" s="288" t="s">
        <v>13</v>
      </c>
      <c r="C213" s="60">
        <f>+('Indeks '!C215/'Indeks '!C$187*'Indeks '!C$184)/('Indeks '!H215/'Indeks '!H$187)</f>
        <v>0.47606225895208426</v>
      </c>
      <c r="D213" s="60">
        <f>+('Indeks '!D215/'Indeks '!D$187*'Indeks '!D$184)/('Indeks '!H215/'Indeks '!H$187)</f>
        <v>0.38861496811061597</v>
      </c>
      <c r="E213" s="60">
        <f>+('Indeks '!E215/'Indeks '!E$187*'Indeks '!E$184)/('Indeks '!H215/'Indeks '!H$187)</f>
        <v>5.9664124284455292E-2</v>
      </c>
      <c r="F213" s="60">
        <f>+('Indeks '!F215/'Indeks '!F$187*'Indeks '!F$184)/('Indeks '!H215/'Indeks '!H$187)</f>
        <v>6.3982454745508205E-2</v>
      </c>
      <c r="G213" s="60">
        <f>+('Indeks '!G215/'Indeks '!G$187*'Indeks '!G$184)/('Indeks '!H215/'Indeks '!H$187)</f>
        <v>1.1676193907336024E-2</v>
      </c>
      <c r="H213" s="60">
        <f t="shared" si="26"/>
        <v>0.99999999999999978</v>
      </c>
    </row>
    <row r="214" spans="1:8" x14ac:dyDescent="0.2">
      <c r="A214" s="10">
        <f t="shared" si="27"/>
        <v>2022</v>
      </c>
      <c r="B214" t="s">
        <v>30</v>
      </c>
      <c r="C214" s="59">
        <f>+('Indeks '!C216/'Indeks '!C$187*'Indeks '!C$184)/('Indeks '!H216/'Indeks '!H$187)</f>
        <v>0.47821755361943336</v>
      </c>
      <c r="D214" s="59">
        <f>+('Indeks '!D216/'Indeks '!D$187*'Indeks '!D$184)/('Indeks '!H216/'Indeks '!H$187)</f>
        <v>0.38393400827795476</v>
      </c>
      <c r="E214" s="59">
        <f>+('Indeks '!E216/'Indeks '!E$187*'Indeks '!E$184)/('Indeks '!H216/'Indeks '!H$187)</f>
        <v>6.0180681084167527E-2</v>
      </c>
      <c r="F214" s="59">
        <f>+('Indeks '!F216/'Indeks '!F$187*'Indeks '!F$184)/('Indeks '!H216/'Indeks '!H$187)</f>
        <v>6.4074137197000419E-2</v>
      </c>
      <c r="G214" s="59">
        <f>+('Indeks '!G216/'Indeks '!G$187*'Indeks '!G$184)/('Indeks '!H216/'Indeks '!H$187)</f>
        <v>1.3593619821443819E-2</v>
      </c>
      <c r="H214" s="59">
        <f t="shared" si="26"/>
        <v>0.99999999999999978</v>
      </c>
    </row>
    <row r="215" spans="1:8" x14ac:dyDescent="0.2">
      <c r="A215" s="10">
        <f t="shared" si="27"/>
        <v>2022</v>
      </c>
      <c r="B215" t="s">
        <v>14</v>
      </c>
      <c r="C215" s="59">
        <f>+('Indeks '!C217/'Indeks '!C$187*'Indeks '!C$184)/('Indeks '!H217/'Indeks '!H$187)</f>
        <v>0.49122506160622215</v>
      </c>
      <c r="D215" s="59">
        <f>+('Indeks '!D217/'Indeks '!D$187*'Indeks '!D$184)/('Indeks '!H217/'Indeks '!H$187)</f>
        <v>0.36465449221394575</v>
      </c>
      <c r="E215" s="59">
        <f>+('Indeks '!E217/'Indeks '!E$187*'Indeks '!E$184)/('Indeks '!H217/'Indeks '!H$187)</f>
        <v>6.2311257549703757E-2</v>
      </c>
      <c r="F215" s="59">
        <f>+('Indeks '!F217/'Indeks '!F$187*'Indeks '!F$184)/('Indeks '!H217/'Indeks '!H$187)</f>
        <v>6.6100401867359868E-2</v>
      </c>
      <c r="G215" s="59">
        <f>+('Indeks '!G217/'Indeks '!G$187*'Indeks '!G$184)/('Indeks '!H217/'Indeks '!H$187)</f>
        <v>1.5708786762768184E-2</v>
      </c>
      <c r="H215" s="59">
        <f t="shared" si="26"/>
        <v>0.99999999999999978</v>
      </c>
    </row>
    <row r="216" spans="1:8" x14ac:dyDescent="0.2">
      <c r="A216" s="12">
        <f t="shared" si="27"/>
        <v>2022</v>
      </c>
      <c r="B216" s="13" t="s">
        <v>15</v>
      </c>
      <c r="C216" s="60">
        <f>+('Indeks '!C218/'Indeks '!C$187*'Indeks '!C$184)/('Indeks '!H218/'Indeks '!H$187)</f>
        <v>0.49909838048381944</v>
      </c>
      <c r="D216" s="60">
        <f>+('Indeks '!D218/'Indeks '!D$187*'Indeks '!D$184)/('Indeks '!H218/'Indeks '!H$187)</f>
        <v>0.35442391111542121</v>
      </c>
      <c r="E216" s="60">
        <f>+('Indeks '!E218/'Indeks '!E$187*'Indeks '!E$184)/('Indeks '!H218/'Indeks '!H$187)</f>
        <v>6.4034475752183018E-2</v>
      </c>
      <c r="F216" s="60">
        <f>+('Indeks '!F218/'Indeks '!F$187*'Indeks '!F$184)/('Indeks '!H218/'Indeks '!H$187)</f>
        <v>6.7793437739372256E-2</v>
      </c>
      <c r="G216" s="60">
        <f>+('Indeks '!G218/'Indeks '!G$187*'Indeks '!G$184)/('Indeks '!H218/'Indeks '!H$187)</f>
        <v>1.4649794909204227E-2</v>
      </c>
      <c r="H216" s="60">
        <f t="shared" si="26"/>
        <v>1.0000000000000002</v>
      </c>
    </row>
    <row r="217" spans="1:8" x14ac:dyDescent="0.2">
      <c r="A217" s="10">
        <f t="shared" si="27"/>
        <v>2022</v>
      </c>
      <c r="B217" t="s">
        <v>16</v>
      </c>
      <c r="C217" s="59">
        <f>+('Indeks '!C219/'Indeks '!C$187*'Indeks '!C$184)/('Indeks '!H219/'Indeks '!H$187)</f>
        <v>0.52001079484407675</v>
      </c>
      <c r="D217" s="59">
        <f>+('Indeks '!D219/'Indeks '!D$187*'Indeks '!D$184)/('Indeks '!H219/'Indeks '!H$187)</f>
        <v>0.3233687005376969</v>
      </c>
      <c r="E217" s="59">
        <f>+('Indeks '!E219/'Indeks '!E$187*'Indeks '!E$184)/('Indeks '!H219/'Indeks '!H$187)</f>
        <v>6.6128327499237999E-2</v>
      </c>
      <c r="F217" s="59">
        <f>+('Indeks '!F219/'Indeks '!F$187*'Indeks '!F$184)/('Indeks '!H219/'Indeks '!H$187)</f>
        <v>7.0426576445406786E-2</v>
      </c>
      <c r="G217" s="59">
        <f>+('Indeks '!G219/'Indeks '!G$187*'Indeks '!G$184)/('Indeks '!H219/'Indeks '!H$187)</f>
        <v>2.0065600673581725E-2</v>
      </c>
      <c r="H217" s="59">
        <f t="shared" si="26"/>
        <v>1.0000000000000002</v>
      </c>
    </row>
    <row r="218" spans="1:8" x14ac:dyDescent="0.2">
      <c r="A218" s="10">
        <f t="shared" si="27"/>
        <v>2022</v>
      </c>
      <c r="B218" t="s">
        <v>17</v>
      </c>
      <c r="C218" s="59">
        <f>+('Indeks '!C220/'Indeks '!C$187*'Indeks '!C$184)/('Indeks '!H220/'Indeks '!H$187)</f>
        <v>0.54291408512184991</v>
      </c>
      <c r="D218" s="59">
        <f>+('Indeks '!D220/'Indeks '!D$187*'Indeks '!D$184)/('Indeks '!H220/'Indeks '!H$187)</f>
        <v>0.28678454901105316</v>
      </c>
      <c r="E218" s="59">
        <f>+('Indeks '!E220/'Indeks '!E$187*'Indeks '!E$184)/('Indeks '!H220/'Indeks '!H$187)</f>
        <v>6.9942192177588541E-2</v>
      </c>
      <c r="F218" s="59">
        <f>+('Indeks '!F220/'Indeks '!F$187*'Indeks '!F$184)/('Indeks '!H220/'Indeks '!H$187)</f>
        <v>7.3590537471544704E-2</v>
      </c>
      <c r="G218" s="59">
        <f>+('Indeks '!G220/'Indeks '!G$187*'Indeks '!G$184)/('Indeks '!H220/'Indeks '!H$187)</f>
        <v>2.6768636217963656E-2</v>
      </c>
      <c r="H218" s="59">
        <f t="shared" si="26"/>
        <v>1</v>
      </c>
    </row>
    <row r="219" spans="1:8" x14ac:dyDescent="0.2">
      <c r="A219" s="12">
        <f t="shared" si="27"/>
        <v>2022</v>
      </c>
      <c r="B219" s="288" t="s">
        <v>18</v>
      </c>
      <c r="C219" s="60">
        <f>+('Indeks '!C221/'Indeks '!C$187*'Indeks '!C$184)/('Indeks '!H221/'Indeks '!H$187)</f>
        <v>0.53939865749249793</v>
      </c>
      <c r="D219" s="60">
        <f>+('Indeks '!D221/'Indeks '!D$187*'Indeks '!D$184)/('Indeks '!H221/'Indeks '!H$187)</f>
        <v>0.29071212606472724</v>
      </c>
      <c r="E219" s="60">
        <f>+('Indeks '!E221/'Indeks '!E$187*'Indeks '!E$184)/('Indeks '!H221/'Indeks '!H$187)</f>
        <v>7.0205693519424572E-2</v>
      </c>
      <c r="F219" s="60">
        <f>+('Indeks '!F221/'Indeks '!F$187*'Indeks '!F$184)/('Indeks '!H221/'Indeks '!H$187)</f>
        <v>7.4409722438105383E-2</v>
      </c>
      <c r="G219" s="60">
        <f>+('Indeks '!G221/'Indeks '!G$187*'Indeks '!G$184)/('Indeks '!H221/'Indeks '!H$187)</f>
        <v>2.5273800485244888E-2</v>
      </c>
      <c r="H219" s="60">
        <f t="shared" si="26"/>
        <v>1.0000000000000002</v>
      </c>
    </row>
    <row r="220" spans="1:8" x14ac:dyDescent="0.2">
      <c r="A220" s="2">
        <v>2023</v>
      </c>
      <c r="B220" t="s">
        <v>8</v>
      </c>
      <c r="C220" s="59">
        <f>+('Indeks '!C222/'Indeks '!C$187*'Indeks '!C$184)/('Indeks '!H222/'Indeks '!H$187)</f>
        <v>0.55171102300414532</v>
      </c>
      <c r="D220" s="59">
        <f>+('Indeks '!D222/'Indeks '!D$187*'Indeks '!D$184)/('Indeks '!H222/'Indeks '!H$187)</f>
        <v>0.27779100584991173</v>
      </c>
      <c r="E220" s="59">
        <f>+('Indeks '!E222/'Indeks '!E$187*'Indeks '!E$184)/('Indeks '!H222/'Indeks '!H$187)</f>
        <v>7.0717185675765459E-2</v>
      </c>
      <c r="F220" s="59">
        <f>+('Indeks '!F222/'Indeks '!F$187*'Indeks '!F$184)/('Indeks '!H222/'Indeks '!H$187)</f>
        <v>7.5782701661142773E-2</v>
      </c>
      <c r="G220" s="59">
        <f>+('Indeks '!G222/'Indeks '!G$187*'Indeks '!G$184)/('Indeks '!H222/'Indeks '!H$187)</f>
        <v>2.3998083809034731E-2</v>
      </c>
      <c r="H220" s="59">
        <f t="shared" ref="H220:H231" si="28">SUM(C220:G220)</f>
        <v>1</v>
      </c>
    </row>
    <row r="221" spans="1:8" x14ac:dyDescent="0.2">
      <c r="A221" s="10">
        <f>A220</f>
        <v>2023</v>
      </c>
      <c r="B221" t="s">
        <v>9</v>
      </c>
      <c r="C221" s="59">
        <f>+('Indeks '!C223/'Indeks '!C$187*'Indeks '!C$184)/('Indeks '!H223/'Indeks '!H$187)</f>
        <v>0.5699936347074982</v>
      </c>
      <c r="D221" s="59">
        <f>+('Indeks '!D223/'Indeks '!D$187*'Indeks '!D$184)/('Indeks '!H223/'Indeks '!H$187)</f>
        <v>0.25015785492334924</v>
      </c>
      <c r="E221" s="59">
        <f>+('Indeks '!E223/'Indeks '!E$187*'Indeks '!E$184)/('Indeks '!H223/'Indeks '!H$187)</f>
        <v>7.262199897364903E-2</v>
      </c>
      <c r="F221" s="59">
        <f>+('Indeks '!F223/'Indeks '!F$187*'Indeks '!F$184)/('Indeks '!H223/'Indeks '!H$187)</f>
        <v>7.8358749750109896E-2</v>
      </c>
      <c r="G221" s="59">
        <f>+('Indeks '!G223/'Indeks '!G$187*'Indeks '!G$184)/('Indeks '!H223/'Indeks '!H$187)</f>
        <v>2.8867761645393262E-2</v>
      </c>
      <c r="H221" s="59">
        <f t="shared" si="28"/>
        <v>0.99999999999999978</v>
      </c>
    </row>
    <row r="222" spans="1:8" x14ac:dyDescent="0.2">
      <c r="A222" s="12">
        <f t="shared" ref="A222:A231" si="29">A221</f>
        <v>2023</v>
      </c>
      <c r="B222" s="13" t="s">
        <v>10</v>
      </c>
      <c r="C222" s="60">
        <f>+('Indeks '!C224/'Indeks '!C$187*'Indeks '!C$184)/('Indeks '!H224/'Indeks '!H$187)</f>
        <v>0.57585978723141351</v>
      </c>
      <c r="D222" s="60">
        <f>+('Indeks '!D224/'Indeks '!D$187*'Indeks '!D$184)/('Indeks '!H224/'Indeks '!H$187)</f>
        <v>0.24162508821568446</v>
      </c>
      <c r="E222" s="60">
        <f>+('Indeks '!E224/'Indeks '!E$187*'Indeks '!E$184)/('Indeks '!H224/'Indeks '!H$187)</f>
        <v>7.3685916567104173E-2</v>
      </c>
      <c r="F222" s="60">
        <f>+('Indeks '!F224/'Indeks '!F$187*'Indeks '!F$184)/('Indeks '!H224/'Indeks '!H$187)</f>
        <v>8.0277425659732088E-2</v>
      </c>
      <c r="G222" s="60">
        <f>+('Indeks '!G224/'Indeks '!G$187*'Indeks '!G$184)/('Indeks '!H224/'Indeks '!H$187)</f>
        <v>2.8551782326065783E-2</v>
      </c>
      <c r="H222" s="60">
        <f t="shared" si="28"/>
        <v>1</v>
      </c>
    </row>
    <row r="223" spans="1:8" x14ac:dyDescent="0.2">
      <c r="A223" s="10">
        <f t="shared" si="29"/>
        <v>2023</v>
      </c>
      <c r="B223" t="s">
        <v>11</v>
      </c>
      <c r="C223" s="59">
        <f>+('Indeks '!C225/'Indeks '!C$187*'Indeks '!C$184)/('Indeks '!H225/'Indeks '!H$187)</f>
        <v>0.57801644321631118</v>
      </c>
      <c r="D223" s="59">
        <f>+('Indeks '!D225/'Indeks '!D$187*'Indeks '!D$184)/('Indeks '!H225/'Indeks '!H$187)</f>
        <v>0.23703307415371655</v>
      </c>
      <c r="E223" s="59">
        <f>+('Indeks '!E225/'Indeks '!E$187*'Indeks '!E$184)/('Indeks '!H225/'Indeks '!H$187)</f>
        <v>7.4061145210879226E-2</v>
      </c>
      <c r="F223" s="59">
        <f>+('Indeks '!F225/'Indeks '!F$187*'Indeks '!F$184)/('Indeks '!H225/'Indeks '!H$187)</f>
        <v>7.9670286395325876E-2</v>
      </c>
      <c r="G223" s="59">
        <f>+('Indeks '!G225/'Indeks '!G$187*'Indeks '!G$184)/('Indeks '!H225/'Indeks '!H$187)</f>
        <v>3.1219051023766937E-2</v>
      </c>
      <c r="H223" s="59">
        <f t="shared" si="28"/>
        <v>0.99999999999999989</v>
      </c>
    </row>
    <row r="224" spans="1:8" x14ac:dyDescent="0.2">
      <c r="A224" s="10">
        <f t="shared" si="29"/>
        <v>2023</v>
      </c>
      <c r="B224" t="s">
        <v>12</v>
      </c>
      <c r="C224" s="59">
        <f>+('Indeks '!C226/'Indeks '!C$187*'Indeks '!C$184)/('Indeks '!H226/'Indeks '!H$187)</f>
        <v>0.59633821001495368</v>
      </c>
      <c r="D224" s="59">
        <f>+('Indeks '!D226/'Indeks '!D$187*'Indeks '!D$184)/('Indeks '!H226/'Indeks '!H$187)</f>
        <v>0.21491479217933521</v>
      </c>
      <c r="E224" s="59">
        <f>+('Indeks '!E226/'Indeks '!E$187*'Indeks '!E$184)/('Indeks '!H226/'Indeks '!H$187)</f>
        <v>7.6278652589785667E-2</v>
      </c>
      <c r="F224" s="59">
        <f>+('Indeks '!F226/'Indeks '!F$187*'Indeks '!F$184)/('Indeks '!H226/'Indeks '!H$187)</f>
        <v>8.2598897078809769E-2</v>
      </c>
      <c r="G224" s="59">
        <f>+('Indeks '!G226/'Indeks '!G$187*'Indeks '!G$184)/('Indeks '!H226/'Indeks '!H$187)</f>
        <v>2.9869448137115385E-2</v>
      </c>
      <c r="H224" s="59">
        <f t="shared" si="28"/>
        <v>0.99999999999999967</v>
      </c>
    </row>
    <row r="225" spans="1:8" x14ac:dyDescent="0.2">
      <c r="A225" s="12">
        <f t="shared" si="29"/>
        <v>2023</v>
      </c>
      <c r="B225" s="288" t="s">
        <v>13</v>
      </c>
      <c r="C225" s="60">
        <f>+('Indeks '!C227/'Indeks '!C$187*'Indeks '!C$184)/('Indeks '!H227/'Indeks '!H$187)</f>
        <v>0.6020670727061036</v>
      </c>
      <c r="D225" s="60">
        <f>+('Indeks '!D227/'Indeks '!D$187*'Indeks '!D$184)/('Indeks '!H227/'Indeks '!H$187)</f>
        <v>0.20683537561545262</v>
      </c>
      <c r="E225" s="60">
        <f>+('Indeks '!E227/'Indeks '!E$187*'Indeks '!E$184)/('Indeks '!H227/'Indeks '!H$187)</f>
        <v>7.7208401540181049E-2</v>
      </c>
      <c r="F225" s="60">
        <f>+('Indeks '!F227/'Indeks '!F$187*'Indeks '!F$184)/('Indeks '!H227/'Indeks '!H$187)</f>
        <v>8.3460256597382723E-2</v>
      </c>
      <c r="G225" s="60">
        <f>+('Indeks '!G227/'Indeks '!G$187*'Indeks '!G$184)/('Indeks '!H227/'Indeks '!H$187)</f>
        <v>3.0428893540879642E-2</v>
      </c>
      <c r="H225" s="60">
        <f t="shared" si="28"/>
        <v>0.99999999999999967</v>
      </c>
    </row>
    <row r="226" spans="1:8" x14ac:dyDescent="0.2">
      <c r="A226" s="17">
        <f t="shared" si="29"/>
        <v>2023</v>
      </c>
      <c r="B226" s="212" t="s">
        <v>30</v>
      </c>
      <c r="C226" s="59">
        <f>+('Indeks '!C228/'Indeks '!C$187*'Indeks '!C$184)/('Indeks '!H228/'Indeks '!H$187)</f>
        <v>0.61658163943167266</v>
      </c>
      <c r="D226" s="59">
        <f>+('Indeks '!D228/'Indeks '!D$187*'Indeks '!D$184)/('Indeks '!H228/'Indeks '!H$187)</f>
        <v>0.18988147356071658</v>
      </c>
      <c r="E226" s="59">
        <f>+('Indeks '!E228/'Indeks '!E$187*'Indeks '!E$184)/('Indeks '!H228/'Indeks '!H$187)</f>
        <v>7.7269872698432121E-2</v>
      </c>
      <c r="F226" s="59">
        <f>+('Indeks '!F228/'Indeks '!F$187*'Indeks '!F$184)/('Indeks '!H228/'Indeks '!H$187)</f>
        <v>8.4472264140666969E-2</v>
      </c>
      <c r="G226" s="59">
        <f>+('Indeks '!G228/'Indeks '!G$187*'Indeks '!G$184)/('Indeks '!H228/'Indeks '!H$187)</f>
        <v>3.179475016851166E-2</v>
      </c>
      <c r="H226" s="59">
        <f t="shared" si="28"/>
        <v>1</v>
      </c>
    </row>
    <row r="227" spans="1:8" x14ac:dyDescent="0.2">
      <c r="A227" s="10">
        <f t="shared" si="29"/>
        <v>2023</v>
      </c>
      <c r="B227" t="s">
        <v>14</v>
      </c>
      <c r="C227" s="59">
        <f>+('Indeks '!C229/'Indeks '!C$187*'Indeks '!C$184)/('Indeks '!H229/'Indeks '!H$187)</f>
        <v>0.6056909142199568</v>
      </c>
      <c r="D227" s="59">
        <f>+('Indeks '!D229/'Indeks '!D$187*'Indeks '!D$184)/('Indeks '!H229/'Indeks '!H$187)</f>
        <v>0.20135040033661999</v>
      </c>
      <c r="E227" s="59">
        <f>+('Indeks '!E229/'Indeks '!E$187*'Indeks '!E$184)/('Indeks '!H229/'Indeks '!H$187)</f>
        <v>7.6166791008534143E-2</v>
      </c>
      <c r="F227" s="59">
        <f>+('Indeks '!F229/'Indeks '!F$187*'Indeks '!F$184)/('Indeks '!H229/'Indeks '!H$187)</f>
        <v>8.3385995819426059E-2</v>
      </c>
      <c r="G227" s="59">
        <f>+('Indeks '!G229/'Indeks '!G$187*'Indeks '!G$184)/('Indeks '!H229/'Indeks '!H$187)</f>
        <v>3.3405898615462976E-2</v>
      </c>
      <c r="H227" s="59">
        <f t="shared" si="28"/>
        <v>1</v>
      </c>
    </row>
    <row r="228" spans="1:8" x14ac:dyDescent="0.2">
      <c r="A228" s="12">
        <f t="shared" si="29"/>
        <v>2023</v>
      </c>
      <c r="B228" s="13" t="s">
        <v>15</v>
      </c>
      <c r="C228" s="60">
        <f>+('Indeks '!C230/'Indeks '!C$187*'Indeks '!C$184)/('Indeks '!H230/'Indeks '!H$187)</f>
        <v>0.59109555782473189</v>
      </c>
      <c r="D228" s="60">
        <f>+('Indeks '!D230/'Indeks '!D$187*'Indeks '!D$184)/('Indeks '!H230/'Indeks '!H$187)</f>
        <v>0.21857317202720156</v>
      </c>
      <c r="E228" s="60">
        <f>+('Indeks '!E230/'Indeks '!E$187*'Indeks '!E$184)/('Indeks '!H230/'Indeks '!H$187)</f>
        <v>7.5672427383010041E-2</v>
      </c>
      <c r="F228" s="60">
        <f>+('Indeks '!F230/'Indeks '!F$187*'Indeks '!F$184)/('Indeks '!H230/'Indeks '!H$187)</f>
        <v>8.2234626054578569E-2</v>
      </c>
      <c r="G228" s="60">
        <f>+('Indeks '!G230/'Indeks '!G$187*'Indeks '!G$184)/('Indeks '!H230/'Indeks '!H$187)</f>
        <v>3.2424216710478022E-2</v>
      </c>
      <c r="H228" s="60">
        <f t="shared" si="28"/>
        <v>1</v>
      </c>
    </row>
    <row r="229" spans="1:8" x14ac:dyDescent="0.2">
      <c r="A229" s="10">
        <f t="shared" si="29"/>
        <v>2023</v>
      </c>
      <c r="B229" t="s">
        <v>16</v>
      </c>
      <c r="C229" s="59">
        <f>+('Indeks '!C231/'Indeks '!C$187*'Indeks '!C$184)/('Indeks '!H231/'Indeks '!H$187)</f>
        <v>0.59782927870107572</v>
      </c>
      <c r="D229" s="59">
        <f>+('Indeks '!D231/'Indeks '!D$187*'Indeks '!D$184)/('Indeks '!H231/'Indeks '!H$187)</f>
        <v>0.21140019608417829</v>
      </c>
      <c r="E229" s="59">
        <f>+('Indeks '!E231/'Indeks '!E$187*'Indeks '!E$184)/('Indeks '!H231/'Indeks '!H$187)</f>
        <v>7.5616644791677762E-2</v>
      </c>
      <c r="F229" s="59">
        <f>+('Indeks '!F231/'Indeks '!F$187*'Indeks '!F$184)/('Indeks '!H231/'Indeks '!H$187)</f>
        <v>8.2533342466314913E-2</v>
      </c>
      <c r="G229" s="59">
        <f>+('Indeks '!G231/'Indeks '!G$187*'Indeks '!G$184)/('Indeks '!H231/'Indeks '!H$187)</f>
        <v>3.2620537956753411E-2</v>
      </c>
      <c r="H229" s="59">
        <f t="shared" si="28"/>
        <v>1</v>
      </c>
    </row>
    <row r="230" spans="1:8" x14ac:dyDescent="0.2">
      <c r="A230" s="10">
        <f t="shared" si="29"/>
        <v>2023</v>
      </c>
      <c r="B230" t="s">
        <v>17</v>
      </c>
      <c r="C230" s="59">
        <f>+('Indeks '!C232/'Indeks '!C$187*'Indeks '!C$184)/('Indeks '!H232/'Indeks '!H$187)</f>
        <v>0.59551815371918582</v>
      </c>
      <c r="D230" s="59">
        <f>+('Indeks '!D232/'Indeks '!D$187*'Indeks '!D$184)/('Indeks '!H232/'Indeks '!H$187)</f>
        <v>0.21359965991250893</v>
      </c>
      <c r="E230" s="59">
        <f>+('Indeks '!E232/'Indeks '!E$187*'Indeks '!E$184)/('Indeks '!H232/'Indeks '!H$187)</f>
        <v>7.5132330718764864E-2</v>
      </c>
      <c r="F230" s="59">
        <f>+('Indeks '!F232/'Indeks '!F$187*'Indeks '!F$184)/('Indeks '!H232/'Indeks '!H$187)</f>
        <v>8.2015854569625138E-2</v>
      </c>
      <c r="G230" s="59">
        <f>+('Indeks '!G232/'Indeks '!G$187*'Indeks '!G$184)/('Indeks '!H232/'Indeks '!H$187)</f>
        <v>3.3734001079915088E-2</v>
      </c>
      <c r="H230" s="59">
        <f t="shared" si="28"/>
        <v>0.99999999999999989</v>
      </c>
    </row>
    <row r="231" spans="1:8" x14ac:dyDescent="0.2">
      <c r="A231" s="12">
        <f t="shared" si="29"/>
        <v>2023</v>
      </c>
      <c r="B231" s="13" t="s">
        <v>18</v>
      </c>
      <c r="C231" s="60">
        <f>+('Indeks '!C233/'Indeks '!C$187*'Indeks '!C$184)/('Indeks '!H233/'Indeks '!H$187)</f>
        <v>0.58496292477466327</v>
      </c>
      <c r="D231" s="60">
        <f>+('Indeks '!D233/'Indeks '!D$187*'Indeks '!D$184)/('Indeks '!H233/'Indeks '!H$187)</f>
        <v>0.22767546557624518</v>
      </c>
      <c r="E231" s="60">
        <f>+('Indeks '!E233/'Indeks '!E$187*'Indeks '!E$184)/('Indeks '!H233/'Indeks '!H$187)</f>
        <v>7.3989239528537393E-2</v>
      </c>
      <c r="F231" s="60">
        <f>+('Indeks '!F233/'Indeks '!F$187*'Indeks '!F$184)/('Indeks '!H233/'Indeks '!H$187)</f>
        <v>8.0497199549891749E-2</v>
      </c>
      <c r="G231" s="60">
        <f>+('Indeks '!G233/'Indeks '!G$187*'Indeks '!G$184)/('Indeks '!H233/'Indeks '!H$187)</f>
        <v>3.2875170570662325E-2</v>
      </c>
      <c r="H231" s="60">
        <f t="shared" si="28"/>
        <v>1</v>
      </c>
    </row>
    <row r="232" spans="1:8" x14ac:dyDescent="0.2">
      <c r="A232" s="2">
        <v>2024</v>
      </c>
      <c r="B232" t="s">
        <v>8</v>
      </c>
      <c r="C232" s="59">
        <f>+('Indeks '!C234/'Indeks '!C$187*'Indeks '!C$184)/('Indeks '!H234/'Indeks '!H$187)</f>
        <v>0.59983225301943999</v>
      </c>
      <c r="D232" s="59">
        <f>+('Indeks '!D234/'Indeks '!D$187*'Indeks '!D$184)/('Indeks '!H234/'Indeks '!H$187)</f>
        <v>0.21331757495095358</v>
      </c>
      <c r="E232" s="59">
        <f>+('Indeks '!E234/'Indeks '!E$187*'Indeks '!E$184)/('Indeks '!H234/'Indeks '!H$187)</f>
        <v>7.4676233893772689E-2</v>
      </c>
      <c r="F232" s="59">
        <f>+('Indeks '!F234/'Indeks '!F$187*'Indeks '!F$184)/('Indeks '!H234/'Indeks '!H$187)</f>
        <v>8.1258484330647751E-2</v>
      </c>
      <c r="G232" s="59">
        <f>+('Indeks '!G234/'Indeks '!G$187*'Indeks '!G$184)/('Indeks '!H234/'Indeks '!H$187)</f>
        <v>3.0915453805185848E-2</v>
      </c>
      <c r="H232" s="59">
        <f t="shared" ref="H232:H243" si="30">SUM(C232:G232)</f>
        <v>0.99999999999999989</v>
      </c>
    </row>
    <row r="233" spans="1:8" x14ac:dyDescent="0.2">
      <c r="A233" s="10">
        <f>A232</f>
        <v>2024</v>
      </c>
      <c r="B233" t="s">
        <v>9</v>
      </c>
      <c r="C233" s="59">
        <f>+('Indeks '!C235/'Indeks '!C$187*'Indeks '!C$184)/('Indeks '!H235/'Indeks '!H$187)</f>
        <v>0.60984856991564573</v>
      </c>
      <c r="D233" s="59">
        <f>+('Indeks '!D235/'Indeks '!D$187*'Indeks '!D$184)/('Indeks '!H235/'Indeks '!H$187)</f>
        <v>0.20365839574725303</v>
      </c>
      <c r="E233" s="59">
        <f>+('Indeks '!E235/'Indeks '!E$187*'Indeks '!E$184)/('Indeks '!H235/'Indeks '!H$187)</f>
        <v>7.5534863176425826E-2</v>
      </c>
      <c r="F233" s="59">
        <f>+('Indeks '!F235/'Indeks '!F$187*'Indeks '!F$184)/('Indeks '!H235/'Indeks '!H$187)</f>
        <v>8.2481591480659963E-2</v>
      </c>
      <c r="G233" s="59">
        <f>+('Indeks '!G235/'Indeks '!G$187*'Indeks '!G$184)/('Indeks '!H235/'Indeks '!H$187)</f>
        <v>2.8476579680015397E-2</v>
      </c>
      <c r="H233" s="59">
        <f t="shared" si="30"/>
        <v>1</v>
      </c>
    </row>
    <row r="234" spans="1:8" x14ac:dyDescent="0.2">
      <c r="A234" s="12">
        <f t="shared" ref="A234:A243" si="31">A233</f>
        <v>2024</v>
      </c>
      <c r="B234" s="13" t="s">
        <v>10</v>
      </c>
      <c r="C234" s="60">
        <f>+('Indeks '!C236/'Indeks '!C$187*'Indeks '!C$184)/('Indeks '!H236/'Indeks '!H$187)</f>
        <v>0.61544056630570487</v>
      </c>
      <c r="D234" s="60">
        <f>+('Indeks '!D236/'Indeks '!D$187*'Indeks '!D$184)/('Indeks '!H236/'Indeks '!H$187)</f>
        <v>0.1958610774531134</v>
      </c>
      <c r="E234" s="60">
        <f>+('Indeks '!E236/'Indeks '!E$187*'Indeks '!E$184)/('Indeks '!H236/'Indeks '!H$187)</f>
        <v>7.6945989797228873E-2</v>
      </c>
      <c r="F234" s="60">
        <f>+('Indeks '!F236/'Indeks '!F$187*'Indeks '!F$184)/('Indeks '!H236/'Indeks '!H$187)</f>
        <v>8.2562820683287824E-2</v>
      </c>
      <c r="G234" s="60">
        <f>+('Indeks '!G236/'Indeks '!G$187*'Indeks '!G$184)/('Indeks '!H236/'Indeks '!H$187)</f>
        <v>2.9189545760665028E-2</v>
      </c>
      <c r="H234" s="60">
        <f t="shared" si="30"/>
        <v>1</v>
      </c>
    </row>
    <row r="235" spans="1:8" x14ac:dyDescent="0.2">
      <c r="A235" s="17">
        <f t="shared" si="31"/>
        <v>2024</v>
      </c>
      <c r="B235" s="18" t="s">
        <v>11</v>
      </c>
      <c r="C235" s="59">
        <f>+('Indeks '!C237/'Indeks '!C$187*'Indeks '!C$184)/('Indeks '!H237/'Indeks '!H$187)</f>
        <v>0.61524644802837403</v>
      </c>
      <c r="D235" s="59">
        <f>+('Indeks '!D237/'Indeks '!D$187*'Indeks '!D$184)/('Indeks '!H237/'Indeks '!H$187)</f>
        <v>0.19576588378903956</v>
      </c>
      <c r="E235" s="59">
        <f>+('Indeks '!E237/'Indeks '!E$187*'Indeks '!E$184)/('Indeks '!H237/'Indeks '!H$187)</f>
        <v>7.6664237759734286E-2</v>
      </c>
      <c r="F235" s="59">
        <f>+('Indeks '!F237/'Indeks '!F$187*'Indeks '!F$184)/('Indeks '!H237/'Indeks '!H$187)</f>
        <v>8.2044402105774836E-2</v>
      </c>
      <c r="G235" s="59">
        <f>+('Indeks '!G237/'Indeks '!G$187*'Indeks '!G$184)/('Indeks '!H237/'Indeks '!H$187)</f>
        <v>3.0279028317077062E-2</v>
      </c>
      <c r="H235" s="59">
        <f t="shared" si="30"/>
        <v>0.99999999999999978</v>
      </c>
    </row>
    <row r="236" spans="1:8" x14ac:dyDescent="0.2">
      <c r="A236" s="10">
        <f t="shared" si="31"/>
        <v>2024</v>
      </c>
      <c r="B236" t="s">
        <v>12</v>
      </c>
      <c r="C236" s="59">
        <f>+('Indeks '!C238/'Indeks '!C$187*'Indeks '!C$184)/('Indeks '!H238/'Indeks '!H$187)</f>
        <v>0.60772889658110196</v>
      </c>
      <c r="D236" s="59">
        <f>+('Indeks '!D238/'Indeks '!D$187*'Indeks '!D$184)/('Indeks '!H238/'Indeks '!H$187)</f>
        <v>0.205768553547446</v>
      </c>
      <c r="E236" s="59">
        <f>+('Indeks '!E238/'Indeks '!E$187*'Indeks '!E$184)/('Indeks '!H238/'Indeks '!H$187)</f>
        <v>7.5727495494302924E-2</v>
      </c>
      <c r="F236" s="59">
        <f>+('Indeks '!F238/'Indeks '!F$187*'Indeks '!F$184)/('Indeks '!H238/'Indeks '!H$187)</f>
        <v>8.0777510044478223E-2</v>
      </c>
      <c r="G236" s="59">
        <f>+('Indeks '!G238/'Indeks '!G$187*'Indeks '!G$184)/('Indeks '!H238/'Indeks '!H$187)</f>
        <v>2.9997544332670722E-2</v>
      </c>
      <c r="H236" s="59">
        <f t="shared" si="30"/>
        <v>0.99999999999999978</v>
      </c>
    </row>
    <row r="237" spans="1:8" x14ac:dyDescent="0.2">
      <c r="A237" s="12">
        <f t="shared" si="31"/>
        <v>2024</v>
      </c>
      <c r="B237" s="13" t="s">
        <v>13</v>
      </c>
      <c r="C237" s="75">
        <f>+('Indeks '!C239/'Indeks '!C$187*'Indeks '!C$184)/('Indeks '!H239/'Indeks '!H$187)</f>
        <v>0.6072817824994774</v>
      </c>
      <c r="D237" s="75">
        <f>+('Indeks '!D239/'Indeks '!D$187*'Indeks '!D$184)/('Indeks '!H239/'Indeks '!H$187)</f>
        <v>0.20561716693679746</v>
      </c>
      <c r="E237" s="75">
        <f>+('Indeks '!E239/'Indeks '!E$187*'Indeks '!E$184)/('Indeks '!H239/'Indeks '!H$187)</f>
        <v>7.5964373332164145E-2</v>
      </c>
      <c r="F237" s="75">
        <f>+('Indeks '!F239/'Indeks '!F$187*'Indeks '!F$184)/('Indeks '!H239/'Indeks '!H$187)</f>
        <v>8.1161202483800113E-2</v>
      </c>
      <c r="G237" s="75">
        <f>+('Indeks '!G239/'Indeks '!G$187*'Indeks '!G$184)/('Indeks '!H239/'Indeks '!H$187)</f>
        <v>2.9975474747760824E-2</v>
      </c>
      <c r="H237" s="75">
        <f t="shared" si="30"/>
        <v>0.99999999999999989</v>
      </c>
    </row>
    <row r="238" spans="1:8" x14ac:dyDescent="0.2">
      <c r="A238" s="17">
        <f t="shared" si="31"/>
        <v>2024</v>
      </c>
      <c r="B238" s="212" t="s">
        <v>30</v>
      </c>
      <c r="C238" s="74">
        <f>+('Indeks '!C240/'Indeks '!C$187*'Indeks '!C$184)/('Indeks '!H240/'Indeks '!H$187)</f>
        <v>0.60854390521452961</v>
      </c>
      <c r="D238" s="74">
        <f>+('Indeks '!D240/'Indeks '!D$187*'Indeks '!D$184)/('Indeks '!H240/'Indeks '!H$187)</f>
        <v>0.20457125436331913</v>
      </c>
      <c r="E238" s="74">
        <f>+('Indeks '!E240/'Indeks '!E$187*'Indeks '!E$184)/('Indeks '!H240/'Indeks '!H$187)</f>
        <v>7.587019424962671E-2</v>
      </c>
      <c r="F238" s="74">
        <f>+('Indeks '!F240/'Indeks '!F$187*'Indeks '!F$184)/('Indeks '!H240/'Indeks '!H$187)</f>
        <v>8.1191647632862865E-2</v>
      </c>
      <c r="G238" s="74">
        <f>+('Indeks '!G240/'Indeks '!G$187*'Indeks '!G$184)/('Indeks '!H240/'Indeks '!H$187)</f>
        <v>2.9822998539661416E-2</v>
      </c>
      <c r="H238" s="74">
        <f t="shared" si="30"/>
        <v>0.99999999999999978</v>
      </c>
    </row>
    <row r="239" spans="1:8" x14ac:dyDescent="0.2">
      <c r="A239" s="10">
        <f t="shared" si="31"/>
        <v>2024</v>
      </c>
      <c r="B239" t="s">
        <v>14</v>
      </c>
      <c r="C239" s="74">
        <f>+('Indeks '!C241/'Indeks '!C$187*'Indeks '!C$184)/('Indeks '!H241/'Indeks '!H$187)</f>
        <v>0.60809447475571765</v>
      </c>
      <c r="D239" s="74">
        <f>+('Indeks '!D241/'Indeks '!D$187*'Indeks '!D$184)/('Indeks '!H241/'Indeks '!H$187)</f>
        <v>0.20442017150484265</v>
      </c>
      <c r="E239" s="74">
        <f>+('Indeks '!E241/'Indeks '!E$187*'Indeks '!E$184)/('Indeks '!H241/'Indeks '!H$187)</f>
        <v>7.610730358821502E-2</v>
      </c>
      <c r="F239" s="74">
        <f>+('Indeks '!F241/'Indeks '!F$187*'Indeks '!F$184)/('Indeks '!H241/'Indeks '!H$187)</f>
        <v>8.1577076914588723E-2</v>
      </c>
      <c r="G239" s="74">
        <f>+('Indeks '!G241/'Indeks '!G$187*'Indeks '!G$184)/('Indeks '!H241/'Indeks '!H$187)</f>
        <v>2.9800973236635657E-2</v>
      </c>
      <c r="H239" s="74">
        <f t="shared" si="30"/>
        <v>0.99999999999999978</v>
      </c>
    </row>
    <row r="240" spans="1:8" x14ac:dyDescent="0.2">
      <c r="A240" s="12">
        <f t="shared" si="31"/>
        <v>2024</v>
      </c>
      <c r="B240" s="13" t="s">
        <v>15</v>
      </c>
      <c r="C240" s="75">
        <f>+('Indeks '!C242/'Indeks '!C$187*'Indeks '!C$184)/('Indeks '!H242/'Indeks '!H$187)</f>
        <v>0.60764353477004007</v>
      </c>
      <c r="D240" s="75">
        <f>+('Indeks '!D242/'Indeks '!D$187*'Indeks '!D$184)/('Indeks '!H242/'Indeks '!H$187)</f>
        <v>0.20426858119603805</v>
      </c>
      <c r="E240" s="75">
        <f>+('Indeks '!E242/'Indeks '!E$187*'Indeks '!E$184)/('Indeks '!H242/'Indeks '!H$187)</f>
        <v>7.6344922579170166E-2</v>
      </c>
      <c r="F240" s="75">
        <f>+('Indeks '!F242/'Indeks '!F$187*'Indeks '!F$184)/('Indeks '!H242/'Indeks '!H$187)</f>
        <v>8.1964087498741164E-2</v>
      </c>
      <c r="G240" s="75">
        <f>+('Indeks '!G242/'Indeks '!G$187*'Indeks '!G$184)/('Indeks '!H242/'Indeks '!H$187)</f>
        <v>2.9778873956010053E-2</v>
      </c>
      <c r="H240" s="75">
        <f t="shared" si="30"/>
        <v>0.99999999999999956</v>
      </c>
    </row>
    <row r="241" spans="1:8" x14ac:dyDescent="0.2">
      <c r="A241" s="10">
        <f t="shared" si="31"/>
        <v>2024</v>
      </c>
      <c r="B241" t="s">
        <v>16</v>
      </c>
      <c r="C241" s="74">
        <f>+('Indeks '!C243/'Indeks '!C$187*'Indeks '!C$184)/('Indeks '!H243/'Indeks '!H$187)</f>
        <v>0.60890126951514623</v>
      </c>
      <c r="D241" s="74">
        <f>+('Indeks '!D243/'Indeks '!D$187*'Indeks '!D$184)/('Indeks '!H243/'Indeks '!H$187)</f>
        <v>0.20322781300273743</v>
      </c>
      <c r="E241" s="74">
        <f>+('Indeks '!E243/'Indeks '!E$187*'Indeks '!E$184)/('Indeks '!H243/'Indeks '!H$187)</f>
        <v>7.6249628067624156E-2</v>
      </c>
      <c r="F241" s="74">
        <f>+('Indeks '!F243/'Indeks '!F$187*'Indeks '!F$184)/('Indeks '!H243/'Indeks '!H$187)</f>
        <v>8.1994141703723877E-2</v>
      </c>
      <c r="G241" s="74">
        <f>+('Indeks '!G243/'Indeks '!G$187*'Indeks '!G$184)/('Indeks '!H243/'Indeks '!H$187)</f>
        <v>2.9627147710768357E-2</v>
      </c>
      <c r="H241" s="74">
        <f t="shared" si="30"/>
        <v>1</v>
      </c>
    </row>
    <row r="242" spans="1:8" x14ac:dyDescent="0.2">
      <c r="A242" s="10">
        <f t="shared" si="31"/>
        <v>2024</v>
      </c>
      <c r="B242" t="s">
        <v>17</v>
      </c>
      <c r="C242" s="74">
        <f>+('Indeks '!C244/'Indeks '!C$187*'Indeks '!C$184)/('Indeks '!H244/'Indeks '!H$187)</f>
        <v>0.60844800459772563</v>
      </c>
      <c r="D242" s="74">
        <f>+('Indeks '!D244/'Indeks '!D$187*'Indeks '!D$184)/('Indeks '!H244/'Indeks '!H$187)</f>
        <v>0.20307653061511552</v>
      </c>
      <c r="E242" s="74">
        <f>+('Indeks '!E244/'Indeks '!E$187*'Indeks '!E$184)/('Indeks '!H244/'Indeks '!H$187)</f>
        <v>7.6487474363207894E-2</v>
      </c>
      <c r="F242" s="74">
        <f>+('Indeks '!F244/'Indeks '!F$187*'Indeks '!F$184)/('Indeks '!H244/'Indeks '!H$187)</f>
        <v>8.2382897104153377E-2</v>
      </c>
      <c r="G242" s="74">
        <f>+('Indeks '!G244/'Indeks '!G$187*'Indeks '!G$184)/('Indeks '!H244/'Indeks '!H$187)</f>
        <v>2.9605093319797517E-2</v>
      </c>
      <c r="H242" s="74">
        <f t="shared" si="30"/>
        <v>1</v>
      </c>
    </row>
    <row r="243" spans="1:8" x14ac:dyDescent="0.2">
      <c r="A243" s="12">
        <f t="shared" si="31"/>
        <v>2024</v>
      </c>
      <c r="B243" s="13" t="s">
        <v>18</v>
      </c>
      <c r="C243" s="75">
        <f>+('Indeks '!C245/'Indeks '!C$187*'Indeks '!C$184)/('Indeks '!H245/'Indeks '!H$187)</f>
        <v>0.60799322176970916</v>
      </c>
      <c r="D243" s="75">
        <f>+('Indeks '!D245/'Indeks '!D$187*'Indeks '!D$184)/('Indeks '!H245/'Indeks '!H$187)</f>
        <v>0.20292474160734655</v>
      </c>
      <c r="E243" s="75">
        <f>+('Indeks '!E245/'Indeks '!E$187*'Indeks '!E$184)/('Indeks '!H245/'Indeks '!H$187)</f>
        <v>7.6725828442832864E-2</v>
      </c>
      <c r="F243" s="75">
        <f>+('Indeks '!F245/'Indeks '!F$187*'Indeks '!F$184)/('Indeks '!H245/'Indeks '!H$187)</f>
        <v>8.2773243107858371E-2</v>
      </c>
      <c r="G243" s="75">
        <f>+('Indeks '!G245/'Indeks '!G$187*'Indeks '!G$184)/('Indeks '!H245/'Indeks '!H$187)</f>
        <v>2.958296507225306E-2</v>
      </c>
      <c r="H243" s="75">
        <f t="shared" si="30"/>
        <v>1</v>
      </c>
    </row>
    <row r="244" spans="1:8" x14ac:dyDescent="0.2">
      <c r="A244" s="2">
        <v>2025</v>
      </c>
      <c r="B244" t="s">
        <v>8</v>
      </c>
      <c r="C244" s="74">
        <f>+('Indeks '!C246/'Indeks '!C$187*'Indeks '!C$184)/('Indeks '!H246/'Indeks '!H$187)</f>
        <v>0.60998654615451298</v>
      </c>
      <c r="D244" s="74">
        <f>+('Indeks '!D246/'Indeks '!D$187*'Indeks '!D$184)/('Indeks '!H246/'Indeks '!H$187)</f>
        <v>0.20180303097629898</v>
      </c>
      <c r="E244" s="74">
        <f>+('Indeks '!E246/'Indeks '!E$187*'Indeks '!E$184)/('Indeks '!H246/'Indeks '!H$187)</f>
        <v>7.6416289560764683E-2</v>
      </c>
      <c r="F244" s="74">
        <f>+('Indeks '!F246/'Indeks '!F$187*'Indeks '!F$184)/('Indeks '!H246/'Indeks '!H$187)</f>
        <v>8.2374694507814455E-2</v>
      </c>
      <c r="G244" s="74">
        <f>+('Indeks '!G246/'Indeks '!G$187*'Indeks '!G$184)/('Indeks '!H246/'Indeks '!H$187)</f>
        <v>2.9419438800608651E-2</v>
      </c>
      <c r="H244" s="74">
        <f t="shared" ref="H244:H255" si="32">SUM(C244:G244)</f>
        <v>0.99999999999999967</v>
      </c>
    </row>
    <row r="245" spans="1:8" x14ac:dyDescent="0.2">
      <c r="A245" s="10">
        <f>A244</f>
        <v>2025</v>
      </c>
      <c r="B245" t="s">
        <v>9</v>
      </c>
      <c r="C245" s="74">
        <f>+('Indeks '!C247/'Indeks '!C$187*'Indeks '!C$184)/('Indeks '!H247/'Indeks '!H$187)</f>
        <v>0.60988055338917779</v>
      </c>
      <c r="D245" s="74">
        <f>+('Indeks '!D247/'Indeks '!D$187*'Indeks '!D$184)/('Indeks '!H247/'Indeks '!H$187)</f>
        <v>0.20176796518437121</v>
      </c>
      <c r="E245" s="74">
        <f>+('Indeks '!E247/'Indeks '!E$187*'Indeks '!E$184)/('Indeks '!H247/'Indeks '!H$187)</f>
        <v>7.6517743216343317E-2</v>
      </c>
      <c r="F245" s="74">
        <f>+('Indeks '!F247/'Indeks '!F$187*'Indeks '!F$184)/('Indeks '!H247/'Indeks '!H$187)</f>
        <v>8.2419411403677603E-2</v>
      </c>
      <c r="G245" s="74">
        <f>+('Indeks '!G247/'Indeks '!G$187*'Indeks '!G$184)/('Indeks '!H247/'Indeks '!H$187)</f>
        <v>2.9414326806429855E-2</v>
      </c>
      <c r="H245" s="74">
        <f t="shared" si="32"/>
        <v>0.99999999999999978</v>
      </c>
    </row>
    <row r="246" spans="1:8" x14ac:dyDescent="0.2">
      <c r="A246" s="12">
        <f t="shared" ref="A246:A255" si="33">A245</f>
        <v>2025</v>
      </c>
      <c r="B246" s="13" t="s">
        <v>10</v>
      </c>
      <c r="C246" s="75">
        <f>+('Indeks '!C248/'Indeks '!C$187*'Indeks '!C$184)/('Indeks '!H248/'Indeks '!H$187)</f>
        <v>0.60977446661863999</v>
      </c>
      <c r="D246" s="75">
        <f>+('Indeks '!D248/'Indeks '!D$187*'Indeks '!D$184)/('Indeks '!H248/'Indeks '!H$187)</f>
        <v>0.2017328682925201</v>
      </c>
      <c r="E246" s="75">
        <f>+('Indeks '!E248/'Indeks '!E$187*'Indeks '!E$184)/('Indeks '!H248/'Indeks '!H$187)</f>
        <v>7.6619317440161511E-2</v>
      </c>
      <c r="F246" s="75">
        <f>+('Indeks '!F248/'Indeks '!F$187*'Indeks '!F$184)/('Indeks '!H248/'Indeks '!H$187)</f>
        <v>8.2464137370265089E-2</v>
      </c>
      <c r="G246" s="75">
        <f>+('Indeks '!G248/'Indeks '!G$187*'Indeks '!G$184)/('Indeks '!H248/'Indeks '!H$187)</f>
        <v>2.9409210278412857E-2</v>
      </c>
      <c r="H246" s="75">
        <f t="shared" si="32"/>
        <v>0.99999999999999944</v>
      </c>
    </row>
    <row r="247" spans="1:8" x14ac:dyDescent="0.2">
      <c r="A247" s="17">
        <f t="shared" si="33"/>
        <v>2025</v>
      </c>
      <c r="B247" s="18" t="s">
        <v>11</v>
      </c>
      <c r="C247" s="74">
        <f>+('Indeks '!C249/'Indeks '!C$187*'Indeks '!C$184)/('Indeks '!H249/'Indeks '!H$187)</f>
        <v>0.61176426677596696</v>
      </c>
      <c r="D247" s="74">
        <f>+('Indeks '!D249/'Indeks '!D$187*'Indeks '!D$184)/('Indeks '!H249/'Indeks '!H$187)</f>
        <v>0.20061467525134982</v>
      </c>
      <c r="E247" s="74">
        <f>+('Indeks '!E249/'Indeks '!E$187*'Indeks '!E$184)/('Indeks '!H249/'Indeks '!H$187)</f>
        <v>7.630904022108069E-2</v>
      </c>
      <c r="F247" s="74">
        <f>+('Indeks '!F249/'Indeks '!F$187*'Indeks '!F$184)/('Indeks '!H249/'Indeks '!H$187)</f>
        <v>8.2065820940245962E-2</v>
      </c>
      <c r="G247" s="74">
        <f>+('Indeks '!G249/'Indeks '!G$187*'Indeks '!G$184)/('Indeks '!H249/'Indeks '!H$187)</f>
        <v>2.9246196811356262E-2</v>
      </c>
      <c r="H247" s="74">
        <f t="shared" si="32"/>
        <v>0.99999999999999956</v>
      </c>
    </row>
    <row r="248" spans="1:8" x14ac:dyDescent="0.2">
      <c r="A248" s="10">
        <f t="shared" si="33"/>
        <v>2025</v>
      </c>
      <c r="B248" t="s">
        <v>12</v>
      </c>
      <c r="C248" s="74">
        <f>+('Indeks '!C250/'Indeks '!C$187*'Indeks '!C$184)/('Indeks '!H250/'Indeks '!H$187)</f>
        <v>0.61165819898728113</v>
      </c>
      <c r="D248" s="74">
        <f>+('Indeks '!D250/'Indeks '!D$187*'Indeks '!D$184)/('Indeks '!H250/'Indeks '!H$187)</f>
        <v>0.20057989264612514</v>
      </c>
      <c r="E248" s="74">
        <f>+('Indeks '!E250/'Indeks '!E$187*'Indeks '!E$184)/('Indeks '!H250/'Indeks '!H$187)</f>
        <v>7.6410380704468608E-2</v>
      </c>
      <c r="F248" s="74">
        <f>+('Indeks '!F250/'Indeks '!F$187*'Indeks '!F$184)/('Indeks '!H250/'Indeks '!H$187)</f>
        <v>8.2110401561157717E-2</v>
      </c>
      <c r="G248" s="74">
        <f>+('Indeks '!G250/'Indeks '!G$187*'Indeks '!G$184)/('Indeks '!H250/'Indeks '!H$187)</f>
        <v>2.9241126100967116E-2</v>
      </c>
      <c r="H248" s="74">
        <f t="shared" si="32"/>
        <v>0.99999999999999956</v>
      </c>
    </row>
    <row r="249" spans="1:8" x14ac:dyDescent="0.2">
      <c r="A249" s="12">
        <f t="shared" si="33"/>
        <v>2025</v>
      </c>
      <c r="B249" s="13" t="s">
        <v>13</v>
      </c>
      <c r="C249" s="75">
        <f>+('Indeks '!C251/'Indeks '!C$187*'Indeks '!C$184)/('Indeks '!H251/'Indeks '!H$187)</f>
        <v>0.61155203700174476</v>
      </c>
      <c r="D249" s="75">
        <f>+('Indeks '!D251/'Indeks '!D$187*'Indeks '!D$184)/('Indeks '!H251/'Indeks '!H$187)</f>
        <v>0.20054507915110906</v>
      </c>
      <c r="E249" s="75">
        <f>+('Indeks '!E251/'Indeks '!E$187*'Indeks '!E$184)/('Indeks '!H251/'Indeks '!H$187)</f>
        <v>7.6511841684926613E-2</v>
      </c>
      <c r="F249" s="75">
        <f>+('Indeks '!F251/'Indeks '!F$187*'Indeks '!F$184)/('Indeks '!H251/'Indeks '!H$187)</f>
        <v>8.215499127484599E-2</v>
      </c>
      <c r="G249" s="75">
        <f>+('Indeks '!G251/'Indeks '!G$187*'Indeks '!G$184)/('Indeks '!H251/'Indeks '!H$187)</f>
        <v>2.9236050887373414E-2</v>
      </c>
      <c r="H249" s="75">
        <f t="shared" si="32"/>
        <v>1</v>
      </c>
    </row>
    <row r="250" spans="1:8" x14ac:dyDescent="0.2">
      <c r="A250" s="17">
        <f t="shared" si="33"/>
        <v>2025</v>
      </c>
      <c r="B250" s="212" t="s">
        <v>30</v>
      </c>
      <c r="C250" s="74">
        <f>+('Indeks '!C252/'Indeks '!C$187*'Indeks '!C$184)/('Indeks '!H252/'Indeks '!H$187)</f>
        <v>0.61353826733117178</v>
      </c>
      <c r="D250" s="74">
        <f>+('Indeks '!D252/'Indeks '!D$187*'Indeks '!D$184)/('Indeks '!H252/'Indeks '!H$187)</f>
        <v>0.19943042412390033</v>
      </c>
      <c r="E250" s="74">
        <f>+('Indeks '!E252/'Indeks '!E$187*'Indeks '!E$184)/('Indeks '!H252/'Indeks '!H$187)</f>
        <v>7.6200835911188369E-2</v>
      </c>
      <c r="F250" s="74">
        <f>+('Indeks '!F252/'Indeks '!F$187*'Indeks '!F$184)/('Indeks '!H252/'Indeks '!H$187)</f>
        <v>8.1756919431351785E-2</v>
      </c>
      <c r="G250" s="74">
        <f>+('Indeks '!G252/'Indeks '!G$187*'Indeks '!G$184)/('Indeks '!H252/'Indeks '!H$187)</f>
        <v>2.9073553202387654E-2</v>
      </c>
      <c r="H250" s="74">
        <f t="shared" si="32"/>
        <v>1</v>
      </c>
    </row>
    <row r="251" spans="1:8" x14ac:dyDescent="0.2">
      <c r="A251" s="10">
        <f t="shared" si="33"/>
        <v>2025</v>
      </c>
      <c r="B251" t="s">
        <v>14</v>
      </c>
      <c r="C251" s="74">
        <f>+('Indeks '!C253/'Indeks '!C$187*'Indeks '!C$184)/('Indeks '!H253/'Indeks '!H$187)</f>
        <v>0.61343212741394681</v>
      </c>
      <c r="D251" s="74">
        <f>+('Indeks '!D253/'Indeks '!D$187*'Indeks '!D$184)/('Indeks '!H253/'Indeks '!H$187)</f>
        <v>0.19939592337661891</v>
      </c>
      <c r="E251" s="74">
        <f>+('Indeks '!E253/'Indeks '!E$187*'Indeks '!E$184)/('Indeks '!H253/'Indeks '!H$187)</f>
        <v>7.6302061982619407E-2</v>
      </c>
      <c r="F251" s="74">
        <f>+('Indeks '!F253/'Indeks '!F$187*'Indeks '!F$184)/('Indeks '!H253/'Indeks '!H$187)</f>
        <v>8.1801363644737182E-2</v>
      </c>
      <c r="G251" s="74">
        <f>+('Indeks '!G253/'Indeks '!G$187*'Indeks '!G$184)/('Indeks '!H253/'Indeks '!H$187)</f>
        <v>2.9068523582077642E-2</v>
      </c>
      <c r="H251" s="74">
        <f t="shared" si="32"/>
        <v>1</v>
      </c>
    </row>
    <row r="252" spans="1:8" x14ac:dyDescent="0.2">
      <c r="A252" s="12">
        <f t="shared" si="33"/>
        <v>2025</v>
      </c>
      <c r="B252" s="13" t="s">
        <v>15</v>
      </c>
      <c r="C252" s="75">
        <f>+('Indeks '!C254/'Indeks '!C$187*'Indeks '!C$184)/('Indeks '!H254/'Indeks '!H$187)</f>
        <v>0.61332589311034413</v>
      </c>
      <c r="D252" s="75">
        <f>+('Indeks '!D254/'Indeks '!D$187*'Indeks '!D$184)/('Indeks '!H254/'Indeks '!H$187)</f>
        <v>0.19936139194907465</v>
      </c>
      <c r="E252" s="75">
        <f>+('Indeks '!E254/'Indeks '!E$187*'Indeks '!E$184)/('Indeks '!H254/'Indeks '!H$187)</f>
        <v>7.640340847863282E-2</v>
      </c>
      <c r="F252" s="75">
        <f>+('Indeks '!F254/'Indeks '!F$187*'Indeks '!F$184)/('Indeks '!H254/'Indeks '!H$187)</f>
        <v>8.1845816972839533E-2</v>
      </c>
      <c r="G252" s="75">
        <f>+('Indeks '!G254/'Indeks '!G$187*'Indeks '!G$184)/('Indeks '!H254/'Indeks '!H$187)</f>
        <v>2.9063489489108762E-2</v>
      </c>
      <c r="H252" s="75">
        <f t="shared" si="32"/>
        <v>0.99999999999999989</v>
      </c>
    </row>
    <row r="253" spans="1:8" x14ac:dyDescent="0.2">
      <c r="A253" s="10">
        <f t="shared" si="33"/>
        <v>2025</v>
      </c>
      <c r="B253" t="s">
        <v>16</v>
      </c>
      <c r="C253" s="74">
        <f>+('Indeks '!C255/'Indeks '!C$187*'Indeks '!C$184)/('Indeks '!H255/'Indeks '!H$187)</f>
        <v>0.61530850843688578</v>
      </c>
      <c r="D253" s="74">
        <f>+('Indeks '!D255/'Indeks '!D$187*'Indeks '!D$184)/('Indeks '!H255/'Indeks '!H$187)</f>
        <v>0.19825029501828048</v>
      </c>
      <c r="E253" s="74">
        <f>+('Indeks '!E255/'Indeks '!E$187*'Indeks '!E$184)/('Indeks '!H255/'Indeks '!H$187)</f>
        <v>7.6091683960760548E-2</v>
      </c>
      <c r="F253" s="74">
        <f>+('Indeks '!F255/'Indeks '!F$187*'Indeks '!F$184)/('Indeks '!H255/'Indeks '!H$187)</f>
        <v>8.1448002070200184E-2</v>
      </c>
      <c r="G253" s="74">
        <f>+('Indeks '!G255/'Indeks '!G$187*'Indeks '!G$184)/('Indeks '!H255/'Indeks '!H$187)</f>
        <v>2.8901510513872845E-2</v>
      </c>
      <c r="H253" s="74">
        <f t="shared" si="32"/>
        <v>0.99999999999999978</v>
      </c>
    </row>
    <row r="254" spans="1:8" x14ac:dyDescent="0.2">
      <c r="A254" s="10">
        <f t="shared" si="33"/>
        <v>2025</v>
      </c>
      <c r="B254" t="s">
        <v>17</v>
      </c>
      <c r="C254" s="74">
        <f>+('Indeks '!C256/'Indeks '!C$187*'Indeks '!C$184)/('Indeks '!H256/'Indeks '!H$187)</f>
        <v>0.61520229928408776</v>
      </c>
      <c r="D254" s="74">
        <f>+('Indeks '!D256/'Indeks '!D$187*'Indeks '!D$184)/('Indeks '!H256/'Indeks '!H$187)</f>
        <v>0.19821607479283726</v>
      </c>
      <c r="E254" s="74">
        <f>+('Indeks '!E256/'Indeks '!E$187*'Indeks '!E$184)/('Indeks '!H256/'Indeks '!H$187)</f>
        <v>7.6192794387136151E-2</v>
      </c>
      <c r="F254" s="74">
        <f>+('Indeks '!F256/'Indeks '!F$187*'Indeks '!F$184)/('Indeks '!H256/'Indeks '!H$187)</f>
        <v>8.1492309747077774E-2</v>
      </c>
      <c r="G254" s="74">
        <f>+('Indeks '!G256/'Indeks '!G$187*'Indeks '!G$184)/('Indeks '!H256/'Indeks '!H$187)</f>
        <v>2.8896521788860641E-2</v>
      </c>
      <c r="H254" s="74">
        <f t="shared" si="32"/>
        <v>0.99999999999999944</v>
      </c>
    </row>
    <row r="255" spans="1:8" x14ac:dyDescent="0.2">
      <c r="A255" s="10">
        <f t="shared" si="33"/>
        <v>2025</v>
      </c>
      <c r="B255" t="s">
        <v>18</v>
      </c>
      <c r="C255" s="74">
        <f>+('Indeks '!C257/'Indeks '!C$187*'Indeks '!C$184)/('Indeks '!H257/'Indeks '!H$187)</f>
        <v>0.61509599555751904</v>
      </c>
      <c r="D255" s="74">
        <f>+('Indeks '!D257/'Indeks '!D$187*'Indeks '!D$184)/('Indeks '!H257/'Indeks '!H$187)</f>
        <v>0.19818182409604884</v>
      </c>
      <c r="E255" s="74">
        <f>+('Indeks '!E257/'Indeks '!E$187*'Indeks '!E$184)/('Indeks '!H257/'Indeks '!H$187)</f>
        <v>7.6294025164289472E-2</v>
      </c>
      <c r="F255" s="74">
        <f>+('Indeks '!F257/'Indeks '!F$187*'Indeks '!F$184)/('Indeks '!H257/'Indeks '!H$187)</f>
        <v>8.153662656049622E-2</v>
      </c>
      <c r="G255" s="74">
        <f>+('Indeks '!G257/'Indeks '!G$187*'Indeks '!G$184)/('Indeks '!H257/'Indeks '!H$187)</f>
        <v>2.8891528621646203E-2</v>
      </c>
      <c r="H255" s="74">
        <f t="shared" si="32"/>
        <v>0.99999999999999989</v>
      </c>
    </row>
  </sheetData>
  <pageMargins left="0.74803149606299213" right="0.74803149606299213" top="0.98425196850393704" bottom="0.98425196850393704" header="0" footer="0"/>
  <pageSetup paperSize="9"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254"/>
  <sheetViews>
    <sheetView tabSelected="1" view="pageBreakPreview" topLeftCell="A216" zoomScale="90" zoomScaleNormal="100" zoomScaleSheetLayoutView="90" workbookViewId="0">
      <selection activeCell="Q232" sqref="Q232"/>
    </sheetView>
  </sheetViews>
  <sheetFormatPr defaultRowHeight="12.75" x14ac:dyDescent="0.2"/>
  <cols>
    <col min="1" max="1" width="5.5703125" customWidth="1"/>
    <col min="2" max="2" width="9.5703125" customWidth="1"/>
    <col min="3" max="3" width="8.5703125" customWidth="1"/>
    <col min="4" max="4" width="15.140625" bestFit="1" customWidth="1"/>
    <col min="5" max="5" width="14.7109375" bestFit="1" customWidth="1"/>
    <col min="6" max="6" width="10.140625" customWidth="1"/>
    <col min="7" max="7" width="11.140625" customWidth="1"/>
    <col min="8" max="8" width="9.5703125" customWidth="1"/>
    <col min="9" max="9" width="10.42578125" style="38" customWidth="1"/>
    <col min="21" max="21" width="9.5703125" bestFit="1" customWidth="1"/>
  </cols>
  <sheetData>
    <row r="1" spans="1:9" ht="18" customHeight="1" x14ac:dyDescent="0.3">
      <c r="A1" s="27" t="s">
        <v>35</v>
      </c>
      <c r="C1" s="2"/>
      <c r="H1" s="71" t="s">
        <v>31</v>
      </c>
    </row>
    <row r="2" spans="1:9" ht="15" customHeight="1" thickBot="1" x14ac:dyDescent="0.3">
      <c r="A2" s="26" t="s">
        <v>1</v>
      </c>
      <c r="B2" s="26" t="s">
        <v>2</v>
      </c>
      <c r="C2" s="26" t="s">
        <v>0</v>
      </c>
      <c r="D2" s="26" t="s">
        <v>20</v>
      </c>
      <c r="E2" s="26" t="s">
        <v>33</v>
      </c>
      <c r="F2" s="26" t="s">
        <v>36</v>
      </c>
      <c r="G2" s="26" t="s">
        <v>34</v>
      </c>
      <c r="H2" s="26" t="s">
        <v>47</v>
      </c>
      <c r="I2" s="25"/>
    </row>
    <row r="3" spans="1:9" ht="15" hidden="1" x14ac:dyDescent="0.2">
      <c r="A3" s="2">
        <v>2005</v>
      </c>
      <c r="B3" t="s">
        <v>8</v>
      </c>
      <c r="C3" s="79" t="s">
        <v>19</v>
      </c>
      <c r="D3" s="78" t="s">
        <v>19</v>
      </c>
      <c r="E3" s="78"/>
      <c r="F3" s="78"/>
      <c r="G3" s="78"/>
      <c r="H3" s="111"/>
      <c r="I3" s="65"/>
    </row>
    <row r="4" spans="1:9" ht="15" hidden="1" x14ac:dyDescent="0.2">
      <c r="A4" s="10">
        <f>A3</f>
        <v>2005</v>
      </c>
      <c r="B4" t="s">
        <v>9</v>
      </c>
      <c r="C4" s="79" t="s">
        <v>19</v>
      </c>
      <c r="D4" s="83" t="s">
        <v>19</v>
      </c>
      <c r="E4" s="83"/>
      <c r="F4" s="83"/>
      <c r="G4" s="83"/>
      <c r="H4" s="111"/>
      <c r="I4" s="76"/>
    </row>
    <row r="5" spans="1:9" ht="15" hidden="1" x14ac:dyDescent="0.2">
      <c r="A5" s="12">
        <f t="shared" ref="A5:A14" si="0">A4</f>
        <v>2005</v>
      </c>
      <c r="B5" s="13" t="s">
        <v>10</v>
      </c>
      <c r="C5" s="80" t="s">
        <v>19</v>
      </c>
      <c r="D5" s="84" t="s">
        <v>19</v>
      </c>
      <c r="E5" s="84" t="s">
        <v>19</v>
      </c>
      <c r="F5" s="84"/>
      <c r="G5" s="84"/>
      <c r="H5" s="111"/>
      <c r="I5" s="76"/>
    </row>
    <row r="6" spans="1:9" ht="15" hidden="1" x14ac:dyDescent="0.2">
      <c r="A6" s="17">
        <f t="shared" si="0"/>
        <v>2005</v>
      </c>
      <c r="B6" s="18" t="s">
        <v>11</v>
      </c>
      <c r="C6" s="81" t="s">
        <v>19</v>
      </c>
      <c r="D6" s="85" t="s">
        <v>19</v>
      </c>
      <c r="E6" s="85"/>
      <c r="F6" s="85"/>
      <c r="G6" s="85"/>
      <c r="H6" s="111"/>
      <c r="I6" s="76"/>
    </row>
    <row r="7" spans="1:9" ht="15" hidden="1" x14ac:dyDescent="0.2">
      <c r="A7" s="10">
        <f t="shared" si="0"/>
        <v>2005</v>
      </c>
      <c r="B7" t="s">
        <v>12</v>
      </c>
      <c r="C7" s="79" t="s">
        <v>19</v>
      </c>
      <c r="D7" s="83" t="s">
        <v>19</v>
      </c>
      <c r="E7" s="83"/>
      <c r="F7" s="83"/>
      <c r="G7" s="83"/>
      <c r="H7" s="111"/>
      <c r="I7" s="76"/>
    </row>
    <row r="8" spans="1:9" ht="15" hidden="1" x14ac:dyDescent="0.2">
      <c r="A8" s="12">
        <f t="shared" si="0"/>
        <v>2005</v>
      </c>
      <c r="B8" s="13" t="s">
        <v>13</v>
      </c>
      <c r="C8" s="80" t="s">
        <v>19</v>
      </c>
      <c r="D8" s="84" t="s">
        <v>19</v>
      </c>
      <c r="E8" s="84" t="s">
        <v>19</v>
      </c>
      <c r="F8" s="84" t="s">
        <v>19</v>
      </c>
      <c r="G8" s="84"/>
      <c r="H8" s="111"/>
      <c r="I8" s="76"/>
    </row>
    <row r="9" spans="1:9" ht="15" hidden="1" x14ac:dyDescent="0.2">
      <c r="A9" s="17">
        <f t="shared" si="0"/>
        <v>2005</v>
      </c>
      <c r="B9" s="22" t="s">
        <v>30</v>
      </c>
      <c r="C9" s="19" t="e">
        <f>#REF!</f>
        <v>#REF!</v>
      </c>
      <c r="D9" s="85" t="str">
        <f>"-"</f>
        <v>-</v>
      </c>
      <c r="E9" s="85"/>
      <c r="F9" s="85"/>
      <c r="G9" s="85"/>
      <c r="H9" s="111"/>
      <c r="I9" s="76"/>
    </row>
    <row r="10" spans="1:9" ht="15" hidden="1" x14ac:dyDescent="0.2">
      <c r="A10" s="10">
        <f t="shared" si="0"/>
        <v>2005</v>
      </c>
      <c r="B10" t="s">
        <v>14</v>
      </c>
      <c r="C10" s="11" t="e">
        <f>#REF!</f>
        <v>#REF!</v>
      </c>
      <c r="D10" s="59" t="e">
        <f t="shared" ref="D10:D68" si="1">(C10-C9)/C9</f>
        <v>#REF!</v>
      </c>
      <c r="E10" s="83"/>
      <c r="F10" s="83"/>
      <c r="G10" s="83"/>
      <c r="H10" s="111"/>
      <c r="I10" s="76"/>
    </row>
    <row r="11" spans="1:9" ht="15" hidden="1" x14ac:dyDescent="0.2">
      <c r="A11" s="12">
        <f t="shared" si="0"/>
        <v>2005</v>
      </c>
      <c r="B11" s="13" t="s">
        <v>15</v>
      </c>
      <c r="C11" s="14" t="e">
        <f>#REF!</f>
        <v>#REF!</v>
      </c>
      <c r="D11" s="60" t="e">
        <f t="shared" si="1"/>
        <v>#REF!</v>
      </c>
      <c r="E11" s="84" t="s">
        <v>19</v>
      </c>
      <c r="F11" s="84"/>
      <c r="G11" s="84"/>
      <c r="H11" s="111"/>
      <c r="I11" s="76"/>
    </row>
    <row r="12" spans="1:9" ht="15" hidden="1" x14ac:dyDescent="0.2">
      <c r="A12" s="10">
        <f t="shared" si="0"/>
        <v>2005</v>
      </c>
      <c r="B12" t="s">
        <v>16</v>
      </c>
      <c r="C12" s="11" t="e">
        <f>#REF!</f>
        <v>#REF!</v>
      </c>
      <c r="D12" s="59" t="e">
        <f t="shared" si="1"/>
        <v>#REF!</v>
      </c>
      <c r="E12" s="83"/>
      <c r="F12" s="83"/>
      <c r="G12" s="83"/>
      <c r="H12" s="111"/>
      <c r="I12" s="76"/>
    </row>
    <row r="13" spans="1:9" ht="15" hidden="1" x14ac:dyDescent="0.2">
      <c r="A13" s="10">
        <f t="shared" si="0"/>
        <v>2005</v>
      </c>
      <c r="B13" t="s">
        <v>17</v>
      </c>
      <c r="C13" s="11" t="e">
        <f>#REF!</f>
        <v>#REF!</v>
      </c>
      <c r="D13" s="59" t="e">
        <f t="shared" si="1"/>
        <v>#REF!</v>
      </c>
      <c r="E13" s="83"/>
      <c r="F13" s="83"/>
      <c r="G13" s="83"/>
      <c r="H13" s="111"/>
      <c r="I13" s="76"/>
    </row>
    <row r="14" spans="1:9" ht="15.75" hidden="1" thickBot="1" x14ac:dyDescent="0.25">
      <c r="A14" s="29">
        <f t="shared" si="0"/>
        <v>2005</v>
      </c>
      <c r="B14" s="30" t="s">
        <v>18</v>
      </c>
      <c r="C14" s="31" t="e">
        <f>#REF!</f>
        <v>#REF!</v>
      </c>
      <c r="D14" s="62" t="e">
        <f t="shared" si="1"/>
        <v>#REF!</v>
      </c>
      <c r="E14" s="62" t="e">
        <f>(SUM(C12:C14)-SUM(C9:C11))/SUM(C9:C11)</f>
        <v>#REF!</v>
      </c>
      <c r="F14" s="86" t="str">
        <f>"-"</f>
        <v>-</v>
      </c>
      <c r="G14" s="86" t="str">
        <f>"-"</f>
        <v>-</v>
      </c>
      <c r="H14" s="111"/>
      <c r="I14" s="76"/>
    </row>
    <row r="15" spans="1:9" ht="15" hidden="1" x14ac:dyDescent="0.2">
      <c r="A15" s="2">
        <v>2006</v>
      </c>
      <c r="B15" t="s">
        <v>8</v>
      </c>
      <c r="C15" s="11" t="e">
        <f>#REF!</f>
        <v>#REF!</v>
      </c>
      <c r="D15" s="59" t="e">
        <f t="shared" si="1"/>
        <v>#REF!</v>
      </c>
      <c r="E15" s="59"/>
      <c r="F15" s="59"/>
      <c r="G15" s="59"/>
      <c r="H15" s="111"/>
      <c r="I15" s="76"/>
    </row>
    <row r="16" spans="1:9" ht="15" hidden="1" x14ac:dyDescent="0.2">
      <c r="A16" s="10">
        <f>A15</f>
        <v>2006</v>
      </c>
      <c r="B16" t="s">
        <v>9</v>
      </c>
      <c r="C16" s="11" t="e">
        <f>#REF!</f>
        <v>#REF!</v>
      </c>
      <c r="D16" s="59" t="e">
        <f t="shared" si="1"/>
        <v>#REF!</v>
      </c>
      <c r="E16" s="59"/>
      <c r="F16" s="59"/>
      <c r="G16" s="59"/>
      <c r="H16" s="111"/>
      <c r="I16" s="76"/>
    </row>
    <row r="17" spans="1:9" ht="15" hidden="1" x14ac:dyDescent="0.2">
      <c r="A17" s="12">
        <f t="shared" ref="A17:A26" si="2">A16</f>
        <v>2006</v>
      </c>
      <c r="B17" s="13" t="s">
        <v>10</v>
      </c>
      <c r="C17" s="14" t="e">
        <f>#REF!</f>
        <v>#REF!</v>
      </c>
      <c r="D17" s="60" t="e">
        <f t="shared" si="1"/>
        <v>#REF!</v>
      </c>
      <c r="E17" s="60" t="e">
        <f>(SUM(C15:C17)-SUM(C12:C14))/SUM(C12:C14)</f>
        <v>#REF!</v>
      </c>
      <c r="F17" s="60"/>
      <c r="G17" s="60"/>
      <c r="H17" s="111"/>
      <c r="I17" s="76"/>
    </row>
    <row r="18" spans="1:9" ht="15" hidden="1" x14ac:dyDescent="0.2">
      <c r="A18" s="17">
        <f t="shared" si="2"/>
        <v>2006</v>
      </c>
      <c r="B18" s="18" t="s">
        <v>11</v>
      </c>
      <c r="C18" s="11" t="e">
        <f>#REF!</f>
        <v>#REF!</v>
      </c>
      <c r="D18" s="59" t="e">
        <f t="shared" si="1"/>
        <v>#REF!</v>
      </c>
      <c r="E18" s="59"/>
      <c r="F18" s="59"/>
      <c r="G18" s="61"/>
      <c r="H18" s="111"/>
      <c r="I18" s="76"/>
    </row>
    <row r="19" spans="1:9" ht="15" hidden="1" x14ac:dyDescent="0.2">
      <c r="A19" s="10">
        <f t="shared" si="2"/>
        <v>2006</v>
      </c>
      <c r="B19" t="s">
        <v>12</v>
      </c>
      <c r="C19" s="11" t="e">
        <f>#REF!</f>
        <v>#REF!</v>
      </c>
      <c r="D19" s="59" t="e">
        <f t="shared" si="1"/>
        <v>#REF!</v>
      </c>
      <c r="E19" s="59"/>
      <c r="F19" s="59"/>
      <c r="G19" s="59"/>
      <c r="H19" s="111"/>
      <c r="I19" s="76"/>
    </row>
    <row r="20" spans="1:9" ht="15" hidden="1" x14ac:dyDescent="0.2">
      <c r="A20" s="12">
        <f t="shared" si="2"/>
        <v>2006</v>
      </c>
      <c r="B20" s="13" t="s">
        <v>13</v>
      </c>
      <c r="C20" s="14" t="e">
        <f>#REF!</f>
        <v>#REF!</v>
      </c>
      <c r="D20" s="60" t="e">
        <f t="shared" si="1"/>
        <v>#REF!</v>
      </c>
      <c r="E20" s="60" t="e">
        <f>(SUM(C18:C20)-SUM(C15:C17))/SUM(C15:C17)</f>
        <v>#REF!</v>
      </c>
      <c r="F20" s="60" t="e">
        <f>(SUM(C15:C20)-SUM(C9:C14))/SUM(C9:C14)</f>
        <v>#REF!</v>
      </c>
      <c r="G20" s="60"/>
      <c r="H20" s="111"/>
      <c r="I20" s="76"/>
    </row>
    <row r="21" spans="1:9" ht="15" hidden="1" x14ac:dyDescent="0.2">
      <c r="A21" s="17">
        <f t="shared" si="2"/>
        <v>2006</v>
      </c>
      <c r="B21" s="22" t="s">
        <v>30</v>
      </c>
      <c r="C21" s="11" t="e">
        <f>#REF!</f>
        <v>#REF!</v>
      </c>
      <c r="D21" s="59" t="e">
        <f t="shared" si="1"/>
        <v>#REF!</v>
      </c>
      <c r="E21" s="59"/>
      <c r="F21" s="59"/>
      <c r="G21" s="61"/>
      <c r="H21" s="111"/>
      <c r="I21" s="76"/>
    </row>
    <row r="22" spans="1:9" ht="15" hidden="1" x14ac:dyDescent="0.2">
      <c r="A22" s="10">
        <f t="shared" si="2"/>
        <v>2006</v>
      </c>
      <c r="B22" t="s">
        <v>14</v>
      </c>
      <c r="C22" s="11" t="e">
        <f>#REF!</f>
        <v>#REF!</v>
      </c>
      <c r="D22" s="59" t="e">
        <f t="shared" si="1"/>
        <v>#REF!</v>
      </c>
      <c r="E22" s="59"/>
      <c r="F22" s="59"/>
      <c r="G22" s="59"/>
      <c r="H22" s="111"/>
      <c r="I22" s="76"/>
    </row>
    <row r="23" spans="1:9" ht="15" hidden="1" x14ac:dyDescent="0.2">
      <c r="A23" s="12">
        <f t="shared" si="2"/>
        <v>2006</v>
      </c>
      <c r="B23" s="13" t="s">
        <v>15</v>
      </c>
      <c r="C23" s="14" t="e">
        <f>#REF!</f>
        <v>#REF!</v>
      </c>
      <c r="D23" s="60" t="e">
        <f t="shared" si="1"/>
        <v>#REF!</v>
      </c>
      <c r="E23" s="60" t="e">
        <f>(SUM(C21:C23)-SUM(C18:C20))/SUM(C18:C20)</f>
        <v>#REF!</v>
      </c>
      <c r="F23" s="60"/>
      <c r="G23" s="60"/>
      <c r="H23" s="111"/>
      <c r="I23" s="76"/>
    </row>
    <row r="24" spans="1:9" ht="15" hidden="1" x14ac:dyDescent="0.2">
      <c r="A24" s="17">
        <f t="shared" si="2"/>
        <v>2006</v>
      </c>
      <c r="B24" s="18" t="s">
        <v>16</v>
      </c>
      <c r="C24" s="19" t="e">
        <f>#REF!</f>
        <v>#REF!</v>
      </c>
      <c r="D24" s="61" t="e">
        <f t="shared" si="1"/>
        <v>#REF!</v>
      </c>
      <c r="E24" s="61"/>
      <c r="F24" s="61"/>
      <c r="G24" s="61"/>
      <c r="H24" s="111"/>
      <c r="I24" s="76"/>
    </row>
    <row r="25" spans="1:9" ht="15" hidden="1" x14ac:dyDescent="0.2">
      <c r="A25" s="10">
        <f t="shared" si="2"/>
        <v>2006</v>
      </c>
      <c r="B25" t="s">
        <v>17</v>
      </c>
      <c r="C25" s="11" t="e">
        <f>#REF!</f>
        <v>#REF!</v>
      </c>
      <c r="D25" s="59" t="e">
        <f t="shared" si="1"/>
        <v>#REF!</v>
      </c>
      <c r="E25" s="59"/>
      <c r="F25" s="59"/>
      <c r="G25" s="59"/>
      <c r="H25" s="111"/>
      <c r="I25" s="76"/>
    </row>
    <row r="26" spans="1:9" ht="15.75" hidden="1" thickBot="1" x14ac:dyDescent="0.25">
      <c r="A26" s="29">
        <f t="shared" si="2"/>
        <v>2006</v>
      </c>
      <c r="B26" s="30" t="s">
        <v>18</v>
      </c>
      <c r="C26" s="31" t="e">
        <f>#REF!</f>
        <v>#REF!</v>
      </c>
      <c r="D26" s="62" t="e">
        <f t="shared" si="1"/>
        <v>#REF!</v>
      </c>
      <c r="E26" s="62" t="e">
        <f>(SUM(C24:C26)-SUM(C21:C23))/SUM(C21:C23)</f>
        <v>#REF!</v>
      </c>
      <c r="F26" s="62" t="e">
        <f>(SUM(C21:C26)-SUM(C15:C20))/SUM(C15:C20)</f>
        <v>#REF!</v>
      </c>
      <c r="G26" s="86" t="str">
        <f>"-"</f>
        <v>-</v>
      </c>
      <c r="H26" s="111"/>
      <c r="I26" s="76"/>
    </row>
    <row r="27" spans="1:9" ht="15" hidden="1" x14ac:dyDescent="0.2">
      <c r="A27" s="2">
        <v>2007</v>
      </c>
      <c r="B27" t="s">
        <v>8</v>
      </c>
      <c r="C27" s="11" t="e">
        <f>#REF!</f>
        <v>#REF!</v>
      </c>
      <c r="D27" s="59" t="e">
        <f t="shared" si="1"/>
        <v>#REF!</v>
      </c>
      <c r="E27" s="59"/>
      <c r="F27" s="59"/>
      <c r="G27" s="59"/>
      <c r="H27" s="111"/>
      <c r="I27" s="76"/>
    </row>
    <row r="28" spans="1:9" ht="15" hidden="1" x14ac:dyDescent="0.2">
      <c r="A28" s="10">
        <f>A27</f>
        <v>2007</v>
      </c>
      <c r="B28" t="s">
        <v>9</v>
      </c>
      <c r="C28" s="11" t="e">
        <f>#REF!</f>
        <v>#REF!</v>
      </c>
      <c r="D28" s="59" t="e">
        <f t="shared" si="1"/>
        <v>#REF!</v>
      </c>
      <c r="E28" s="59"/>
      <c r="F28" s="59"/>
      <c r="G28" s="59"/>
      <c r="H28" s="111"/>
      <c r="I28" s="76"/>
    </row>
    <row r="29" spans="1:9" ht="15" hidden="1" x14ac:dyDescent="0.2">
      <c r="A29" s="12">
        <f t="shared" ref="A29:A38" si="3">A28</f>
        <v>2007</v>
      </c>
      <c r="B29" s="13" t="s">
        <v>10</v>
      </c>
      <c r="C29" s="14" t="e">
        <f>#REF!</f>
        <v>#REF!</v>
      </c>
      <c r="D29" s="60" t="e">
        <f t="shared" si="1"/>
        <v>#REF!</v>
      </c>
      <c r="E29" s="60" t="e">
        <f>(SUM(C27:C29)-SUM(C24:C26))/SUM(C24:C26)</f>
        <v>#REF!</v>
      </c>
      <c r="F29" s="60"/>
      <c r="G29" s="60"/>
      <c r="H29" s="111"/>
      <c r="I29" s="76"/>
    </row>
    <row r="30" spans="1:9" ht="15" hidden="1" x14ac:dyDescent="0.2">
      <c r="A30" s="17">
        <f t="shared" si="3"/>
        <v>2007</v>
      </c>
      <c r="B30" s="18" t="s">
        <v>11</v>
      </c>
      <c r="C30" s="19" t="e">
        <f>#REF!</f>
        <v>#REF!</v>
      </c>
      <c r="D30" s="61" t="e">
        <f t="shared" si="1"/>
        <v>#REF!</v>
      </c>
      <c r="E30" s="59"/>
      <c r="F30" s="59"/>
      <c r="G30" s="61"/>
      <c r="H30" s="111"/>
      <c r="I30" s="76"/>
    </row>
    <row r="31" spans="1:9" ht="15" hidden="1" x14ac:dyDescent="0.2">
      <c r="A31" s="10">
        <f t="shared" si="3"/>
        <v>2007</v>
      </c>
      <c r="B31" t="s">
        <v>12</v>
      </c>
      <c r="C31" s="11" t="e">
        <f>#REF!</f>
        <v>#REF!</v>
      </c>
      <c r="D31" s="59" t="e">
        <f t="shared" si="1"/>
        <v>#REF!</v>
      </c>
      <c r="E31" s="59"/>
      <c r="F31" s="59"/>
      <c r="G31" s="59"/>
      <c r="H31" s="111"/>
      <c r="I31" s="76"/>
    </row>
    <row r="32" spans="1:9" ht="15" hidden="1" x14ac:dyDescent="0.2">
      <c r="A32" s="12">
        <f t="shared" si="3"/>
        <v>2007</v>
      </c>
      <c r="B32" s="13" t="s">
        <v>13</v>
      </c>
      <c r="C32" s="14" t="e">
        <f>#REF!</f>
        <v>#REF!</v>
      </c>
      <c r="D32" s="60" t="e">
        <f t="shared" si="1"/>
        <v>#REF!</v>
      </c>
      <c r="E32" s="60" t="e">
        <f>(SUM(C30:C32)-SUM(C27:C29))/SUM(C27:C29)</f>
        <v>#REF!</v>
      </c>
      <c r="F32" s="60" t="e">
        <f>(SUM(C27:C32)-SUM(C21:C26))/SUM(C21:C26)</f>
        <v>#REF!</v>
      </c>
      <c r="G32" s="60"/>
      <c r="H32" s="111"/>
      <c r="I32" s="76"/>
    </row>
    <row r="33" spans="1:9" ht="15" hidden="1" x14ac:dyDescent="0.2">
      <c r="A33" s="17">
        <f t="shared" si="3"/>
        <v>2007</v>
      </c>
      <c r="B33" s="22" t="s">
        <v>30</v>
      </c>
      <c r="C33" s="19" t="e">
        <f>#REF!</f>
        <v>#REF!</v>
      </c>
      <c r="D33" s="61" t="e">
        <f t="shared" si="1"/>
        <v>#REF!</v>
      </c>
      <c r="E33" s="61"/>
      <c r="F33" s="61"/>
      <c r="G33" s="61"/>
      <c r="H33" s="111"/>
      <c r="I33" s="76"/>
    </row>
    <row r="34" spans="1:9" ht="15" hidden="1" x14ac:dyDescent="0.2">
      <c r="A34" s="10">
        <f t="shared" si="3"/>
        <v>2007</v>
      </c>
      <c r="B34" t="s">
        <v>14</v>
      </c>
      <c r="C34" s="11" t="e">
        <f>#REF!</f>
        <v>#REF!</v>
      </c>
      <c r="D34" s="59" t="e">
        <f t="shared" si="1"/>
        <v>#REF!</v>
      </c>
      <c r="E34" s="59"/>
      <c r="F34" s="59"/>
      <c r="G34" s="59"/>
      <c r="H34" s="111"/>
      <c r="I34" s="76"/>
    </row>
    <row r="35" spans="1:9" ht="15" hidden="1" x14ac:dyDescent="0.2">
      <c r="A35" s="12">
        <f t="shared" si="3"/>
        <v>2007</v>
      </c>
      <c r="B35" s="13" t="s">
        <v>15</v>
      </c>
      <c r="C35" s="14" t="e">
        <f>#REF!</f>
        <v>#REF!</v>
      </c>
      <c r="D35" s="60" t="e">
        <f t="shared" si="1"/>
        <v>#REF!</v>
      </c>
      <c r="E35" s="60" t="e">
        <f>(SUM(C33:C35)-SUM(C30:C32))/SUM(C30:C32)</f>
        <v>#REF!</v>
      </c>
      <c r="F35" s="60"/>
      <c r="G35" s="60"/>
      <c r="H35" s="111"/>
      <c r="I35" s="76"/>
    </row>
    <row r="36" spans="1:9" ht="15" hidden="1" x14ac:dyDescent="0.2">
      <c r="A36" s="17">
        <f t="shared" si="3"/>
        <v>2007</v>
      </c>
      <c r="B36" s="18" t="s">
        <v>16</v>
      </c>
      <c r="C36" s="19" t="e">
        <f>#REF!</f>
        <v>#REF!</v>
      </c>
      <c r="D36" s="61" t="e">
        <f t="shared" si="1"/>
        <v>#REF!</v>
      </c>
      <c r="E36" s="61"/>
      <c r="F36" s="61"/>
      <c r="G36" s="61"/>
      <c r="H36" s="111"/>
      <c r="I36" s="76"/>
    </row>
    <row r="37" spans="1:9" ht="15" hidden="1" x14ac:dyDescent="0.2">
      <c r="A37" s="10">
        <f t="shared" si="3"/>
        <v>2007</v>
      </c>
      <c r="B37" t="s">
        <v>17</v>
      </c>
      <c r="C37" s="11" t="e">
        <f>#REF!</f>
        <v>#REF!</v>
      </c>
      <c r="D37" s="59" t="e">
        <f t="shared" si="1"/>
        <v>#REF!</v>
      </c>
      <c r="E37" s="59"/>
      <c r="F37" s="59"/>
      <c r="G37" s="59"/>
      <c r="H37" s="111"/>
      <c r="I37" s="76"/>
    </row>
    <row r="38" spans="1:9" ht="15.75" hidden="1" thickBot="1" x14ac:dyDescent="0.25">
      <c r="A38" s="29">
        <f t="shared" si="3"/>
        <v>2007</v>
      </c>
      <c r="B38" s="30" t="s">
        <v>18</v>
      </c>
      <c r="C38" s="31" t="e">
        <f>#REF!</f>
        <v>#REF!</v>
      </c>
      <c r="D38" s="62" t="e">
        <f t="shared" si="1"/>
        <v>#REF!</v>
      </c>
      <c r="E38" s="62" t="e">
        <f>(SUM(C36:C38)-SUM(C33:C35))/SUM(C33:C35)</f>
        <v>#REF!</v>
      </c>
      <c r="F38" s="62" t="e">
        <f>(SUM(C33:C38)-SUM(C27:C32))/SUM(C27:C32)</f>
        <v>#REF!</v>
      </c>
      <c r="G38" s="62" t="e">
        <f>(SUM(C27:C38)-SUM(C15:C26))/SUM(C15:C26)</f>
        <v>#REF!</v>
      </c>
      <c r="H38" s="111"/>
      <c r="I38" s="76"/>
    </row>
    <row r="39" spans="1:9" ht="15.75" hidden="1" x14ac:dyDescent="0.25">
      <c r="A39" s="2">
        <v>2008</v>
      </c>
      <c r="B39" s="2" t="s">
        <v>8</v>
      </c>
      <c r="C39" s="7" t="e">
        <f>#REF!</f>
        <v>#REF!</v>
      </c>
      <c r="D39" s="48" t="e">
        <f t="shared" si="1"/>
        <v>#REF!</v>
      </c>
      <c r="E39" s="63"/>
      <c r="F39" s="63"/>
      <c r="G39" s="63"/>
      <c r="H39" s="111"/>
      <c r="I39" s="77"/>
    </row>
    <row r="40" spans="1:9" ht="15" hidden="1" x14ac:dyDescent="0.2">
      <c r="A40" s="10">
        <f>A39</f>
        <v>2008</v>
      </c>
      <c r="B40" t="s">
        <v>9</v>
      </c>
      <c r="C40" s="11" t="e">
        <f>#REF!</f>
        <v>#REF!</v>
      </c>
      <c r="D40" s="59" t="e">
        <f t="shared" si="1"/>
        <v>#REF!</v>
      </c>
      <c r="E40" s="59"/>
      <c r="F40" s="59"/>
      <c r="G40" s="59"/>
      <c r="H40" s="111"/>
      <c r="I40" s="45"/>
    </row>
    <row r="41" spans="1:9" ht="15" hidden="1" x14ac:dyDescent="0.2">
      <c r="A41" s="12">
        <f t="shared" ref="A41:A50" si="4">A40</f>
        <v>2008</v>
      </c>
      <c r="B41" s="15" t="s">
        <v>10</v>
      </c>
      <c r="C41" s="14" t="e">
        <f>#REF!</f>
        <v>#REF!</v>
      </c>
      <c r="D41" s="60" t="e">
        <f t="shared" si="1"/>
        <v>#REF!</v>
      </c>
      <c r="E41" s="60" t="e">
        <f>(SUM(C39:C41)-SUM(C36:C38))/SUM(C36:C38)</f>
        <v>#REF!</v>
      </c>
      <c r="F41" s="60"/>
      <c r="G41" s="15"/>
      <c r="H41" s="111"/>
      <c r="I41" s="45"/>
    </row>
    <row r="42" spans="1:9" ht="15" hidden="1" x14ac:dyDescent="0.2">
      <c r="A42" s="17">
        <f t="shared" si="4"/>
        <v>2008</v>
      </c>
      <c r="B42" s="18" t="s">
        <v>11</v>
      </c>
      <c r="C42" s="19" t="e">
        <f>#REF!</f>
        <v>#REF!</v>
      </c>
      <c r="D42" s="61" t="e">
        <f t="shared" si="1"/>
        <v>#REF!</v>
      </c>
      <c r="E42" s="61"/>
      <c r="F42" s="61"/>
      <c r="G42" s="61"/>
      <c r="H42" s="111"/>
      <c r="I42" s="45"/>
    </row>
    <row r="43" spans="1:9" ht="15" hidden="1" x14ac:dyDescent="0.2">
      <c r="A43" s="10">
        <f t="shared" si="4"/>
        <v>2008</v>
      </c>
      <c r="B43" t="s">
        <v>12</v>
      </c>
      <c r="C43" s="11" t="e">
        <f>#REF!</f>
        <v>#REF!</v>
      </c>
      <c r="D43" s="59" t="e">
        <f t="shared" si="1"/>
        <v>#REF!</v>
      </c>
      <c r="E43" s="59"/>
      <c r="F43" s="59"/>
      <c r="G43" s="59"/>
      <c r="H43" s="111"/>
      <c r="I43" s="45"/>
    </row>
    <row r="44" spans="1:9" ht="15" hidden="1" x14ac:dyDescent="0.2">
      <c r="A44" s="12">
        <f t="shared" si="4"/>
        <v>2008</v>
      </c>
      <c r="B44" s="13" t="s">
        <v>13</v>
      </c>
      <c r="C44" s="14" t="e">
        <f>#REF!</f>
        <v>#REF!</v>
      </c>
      <c r="D44" s="60" t="e">
        <f t="shared" si="1"/>
        <v>#REF!</v>
      </c>
      <c r="E44" s="60" t="e">
        <f>(SUM(C42:C44)-SUM(C39:C41))/SUM(C39:C41)</f>
        <v>#REF!</v>
      </c>
      <c r="F44" s="60" t="e">
        <f>(SUM(C39:C44)-SUM(C33:C38))/SUM(C33:C38)</f>
        <v>#REF!</v>
      </c>
      <c r="G44" s="60"/>
      <c r="H44" s="111"/>
      <c r="I44" s="45"/>
    </row>
    <row r="45" spans="1:9" ht="15" hidden="1" x14ac:dyDescent="0.2">
      <c r="A45" s="17">
        <f t="shared" si="4"/>
        <v>2008</v>
      </c>
      <c r="B45" s="22" t="s">
        <v>30</v>
      </c>
      <c r="C45" s="24" t="e">
        <f>#REF!</f>
        <v>#REF!</v>
      </c>
      <c r="D45" s="61" t="e">
        <f t="shared" si="1"/>
        <v>#REF!</v>
      </c>
      <c r="E45" s="61"/>
      <c r="F45" s="61"/>
      <c r="G45" s="61"/>
      <c r="H45" s="111"/>
      <c r="I45" s="45"/>
    </row>
    <row r="46" spans="1:9" ht="15" hidden="1" x14ac:dyDescent="0.2">
      <c r="A46" s="10">
        <f t="shared" si="4"/>
        <v>2008</v>
      </c>
      <c r="B46" t="s">
        <v>14</v>
      </c>
      <c r="C46" s="11" t="e">
        <f>#REF!</f>
        <v>#REF!</v>
      </c>
      <c r="D46" s="59" t="e">
        <f t="shared" si="1"/>
        <v>#REF!</v>
      </c>
      <c r="E46" s="59"/>
      <c r="F46" s="59"/>
      <c r="G46" s="59"/>
      <c r="H46" s="111"/>
      <c r="I46" s="45"/>
    </row>
    <row r="47" spans="1:9" ht="15" hidden="1" x14ac:dyDescent="0.2">
      <c r="A47" s="12">
        <f t="shared" si="4"/>
        <v>2008</v>
      </c>
      <c r="B47" s="13" t="s">
        <v>15</v>
      </c>
      <c r="C47" s="14" t="e">
        <f>#REF!</f>
        <v>#REF!</v>
      </c>
      <c r="D47" s="60" t="e">
        <f t="shared" si="1"/>
        <v>#REF!</v>
      </c>
      <c r="E47" s="60" t="e">
        <f>(SUM(C45:C47)-SUM(C42:C44))/SUM(C42:C44)</f>
        <v>#REF!</v>
      </c>
      <c r="F47" s="60"/>
      <c r="G47" s="60"/>
      <c r="H47" s="111"/>
      <c r="I47" s="45"/>
    </row>
    <row r="48" spans="1:9" ht="15" hidden="1" x14ac:dyDescent="0.2">
      <c r="A48" s="17">
        <f t="shared" si="4"/>
        <v>2008</v>
      </c>
      <c r="B48" s="18" t="s">
        <v>16</v>
      </c>
      <c r="C48" s="19" t="e">
        <f>#REF!</f>
        <v>#REF!</v>
      </c>
      <c r="D48" s="61" t="e">
        <f t="shared" si="1"/>
        <v>#REF!</v>
      </c>
      <c r="E48" s="61"/>
      <c r="F48" s="61"/>
      <c r="G48" s="61"/>
      <c r="H48" s="111"/>
      <c r="I48" s="45"/>
    </row>
    <row r="49" spans="1:9" ht="15" hidden="1" x14ac:dyDescent="0.2">
      <c r="A49" s="10">
        <f t="shared" si="4"/>
        <v>2008</v>
      </c>
      <c r="B49" t="s">
        <v>17</v>
      </c>
      <c r="C49" s="11" t="e">
        <f>#REF!</f>
        <v>#REF!</v>
      </c>
      <c r="D49" s="59" t="e">
        <f t="shared" si="1"/>
        <v>#REF!</v>
      </c>
      <c r="E49" s="59"/>
      <c r="F49" s="59"/>
      <c r="G49" s="59"/>
      <c r="H49" s="111"/>
      <c r="I49" s="45"/>
    </row>
    <row r="50" spans="1:9" ht="15.75" hidden="1" thickBot="1" x14ac:dyDescent="0.25">
      <c r="A50" s="29">
        <f t="shared" si="4"/>
        <v>2008</v>
      </c>
      <c r="B50" s="30" t="s">
        <v>18</v>
      </c>
      <c r="C50" s="31" t="e">
        <f>#REF!</f>
        <v>#REF!</v>
      </c>
      <c r="D50" s="62" t="e">
        <f t="shared" si="1"/>
        <v>#REF!</v>
      </c>
      <c r="E50" s="62" t="e">
        <f>(SUM(C48:C50)-SUM(C45:C47))/SUM(C45:C47)</f>
        <v>#REF!</v>
      </c>
      <c r="F50" s="62" t="e">
        <f>(SUM(C45:C50)-SUM(C39:C44))/SUM(C39:C44)</f>
        <v>#REF!</v>
      </c>
      <c r="G50" s="62" t="e">
        <f>(SUM(C39:C50)-SUM(C27:C38))/SUM(C27:C38)</f>
        <v>#REF!</v>
      </c>
      <c r="H50" s="111"/>
      <c r="I50" s="45"/>
    </row>
    <row r="51" spans="1:9" ht="15" hidden="1" x14ac:dyDescent="0.2">
      <c r="A51" s="2">
        <v>2009</v>
      </c>
      <c r="B51" t="s">
        <v>8</v>
      </c>
      <c r="C51" s="11" t="e">
        <f>#REF!</f>
        <v>#REF!</v>
      </c>
      <c r="D51" s="48" t="e">
        <f t="shared" si="1"/>
        <v>#REF!</v>
      </c>
      <c r="E51" s="59"/>
      <c r="F51" s="59"/>
      <c r="G51" s="59"/>
      <c r="H51" s="111"/>
      <c r="I51" s="45"/>
    </row>
    <row r="52" spans="1:9" ht="15" hidden="1" x14ac:dyDescent="0.2">
      <c r="A52" s="10">
        <f>A51</f>
        <v>2009</v>
      </c>
      <c r="B52" t="s">
        <v>9</v>
      </c>
      <c r="C52" s="11" t="e">
        <f>#REF!</f>
        <v>#REF!</v>
      </c>
      <c r="D52" s="59" t="e">
        <f t="shared" si="1"/>
        <v>#REF!</v>
      </c>
      <c r="E52" s="59"/>
      <c r="F52" s="59"/>
      <c r="G52" s="59"/>
      <c r="H52" s="111"/>
      <c r="I52" s="45"/>
    </row>
    <row r="53" spans="1:9" ht="15" hidden="1" x14ac:dyDescent="0.2">
      <c r="A53" s="12">
        <f t="shared" ref="A53:A62" si="5">A52</f>
        <v>2009</v>
      </c>
      <c r="B53" s="13" t="s">
        <v>10</v>
      </c>
      <c r="C53" s="14" t="e">
        <f>#REF!</f>
        <v>#REF!</v>
      </c>
      <c r="D53" s="60" t="e">
        <f t="shared" si="1"/>
        <v>#REF!</v>
      </c>
      <c r="E53" s="60" t="e">
        <f>(SUM(C51:C53)-SUM(C48:C50))/SUM(C48:C50)</f>
        <v>#REF!</v>
      </c>
      <c r="F53" s="60"/>
      <c r="G53" s="60"/>
      <c r="H53" s="111"/>
      <c r="I53" s="45"/>
    </row>
    <row r="54" spans="1:9" ht="15" hidden="1" x14ac:dyDescent="0.2">
      <c r="A54" s="17">
        <f t="shared" si="5"/>
        <v>2009</v>
      </c>
      <c r="B54" s="18" t="s">
        <v>11</v>
      </c>
      <c r="C54" s="19" t="e">
        <f>#REF!</f>
        <v>#REF!</v>
      </c>
      <c r="D54" s="61" t="e">
        <f t="shared" si="1"/>
        <v>#REF!</v>
      </c>
      <c r="E54" s="61"/>
      <c r="F54" s="61"/>
      <c r="G54" s="61"/>
      <c r="H54" s="111"/>
      <c r="I54" s="45"/>
    </row>
    <row r="55" spans="1:9" ht="15" hidden="1" x14ac:dyDescent="0.2">
      <c r="A55" s="10">
        <f t="shared" si="5"/>
        <v>2009</v>
      </c>
      <c r="B55" t="s">
        <v>12</v>
      </c>
      <c r="C55" s="11" t="e">
        <f>#REF!</f>
        <v>#REF!</v>
      </c>
      <c r="D55" s="59" t="e">
        <f t="shared" si="1"/>
        <v>#REF!</v>
      </c>
      <c r="E55" s="59"/>
      <c r="F55" s="59"/>
      <c r="G55" s="59"/>
      <c r="H55" s="111"/>
      <c r="I55" s="45"/>
    </row>
    <row r="56" spans="1:9" ht="15" hidden="1" x14ac:dyDescent="0.2">
      <c r="A56" s="12">
        <f t="shared" si="5"/>
        <v>2009</v>
      </c>
      <c r="B56" s="13" t="s">
        <v>13</v>
      </c>
      <c r="C56" s="14" t="e">
        <f>#REF!</f>
        <v>#REF!</v>
      </c>
      <c r="D56" s="60" t="e">
        <f t="shared" si="1"/>
        <v>#REF!</v>
      </c>
      <c r="E56" s="60" t="e">
        <f>(SUM(C54:C56)-SUM(C51:C53))/SUM(C51:C53)</f>
        <v>#REF!</v>
      </c>
      <c r="F56" s="60" t="e">
        <f>(SUM(C51:C56)-SUM(C45:C50))/SUM(C45:C50)</f>
        <v>#REF!</v>
      </c>
      <c r="G56" s="60"/>
      <c r="H56" s="111"/>
      <c r="I56" s="45"/>
    </row>
    <row r="57" spans="1:9" ht="15" hidden="1" x14ac:dyDescent="0.2">
      <c r="A57" s="17">
        <f t="shared" si="5"/>
        <v>2009</v>
      </c>
      <c r="B57" s="22" t="s">
        <v>30</v>
      </c>
      <c r="C57" s="19" t="e">
        <f>#REF!</f>
        <v>#REF!</v>
      </c>
      <c r="D57" s="61" t="e">
        <f t="shared" si="1"/>
        <v>#REF!</v>
      </c>
      <c r="E57" s="61"/>
      <c r="F57" s="61"/>
      <c r="G57" s="61"/>
      <c r="H57" s="111"/>
      <c r="I57" s="45"/>
    </row>
    <row r="58" spans="1:9" ht="15" hidden="1" x14ac:dyDescent="0.2">
      <c r="A58" s="10">
        <f t="shared" si="5"/>
        <v>2009</v>
      </c>
      <c r="B58" t="s">
        <v>14</v>
      </c>
      <c r="C58" s="11" t="e">
        <f>#REF!</f>
        <v>#REF!</v>
      </c>
      <c r="D58" s="59" t="e">
        <f t="shared" si="1"/>
        <v>#REF!</v>
      </c>
      <c r="E58" s="59"/>
      <c r="F58" s="59"/>
      <c r="G58" s="59"/>
      <c r="H58" s="111"/>
      <c r="I58" s="45"/>
    </row>
    <row r="59" spans="1:9" ht="15" hidden="1" x14ac:dyDescent="0.2">
      <c r="A59" s="12">
        <f t="shared" si="5"/>
        <v>2009</v>
      </c>
      <c r="B59" s="13" t="s">
        <v>15</v>
      </c>
      <c r="C59" s="14" t="e">
        <f>#REF!</f>
        <v>#REF!</v>
      </c>
      <c r="D59" s="60" t="e">
        <f t="shared" si="1"/>
        <v>#REF!</v>
      </c>
      <c r="E59" s="60" t="e">
        <f>(SUM(C57:C59)-SUM(C54:C56))/SUM(C54:C56)</f>
        <v>#REF!</v>
      </c>
      <c r="F59" s="60"/>
      <c r="G59" s="60"/>
      <c r="H59" s="111"/>
      <c r="I59" s="53"/>
    </row>
    <row r="60" spans="1:9" ht="15" hidden="1" x14ac:dyDescent="0.2">
      <c r="A60" s="17">
        <f t="shared" si="5"/>
        <v>2009</v>
      </c>
      <c r="B60" s="18" t="s">
        <v>16</v>
      </c>
      <c r="C60" s="19" t="e">
        <f>#REF!</f>
        <v>#REF!</v>
      </c>
      <c r="D60" s="61" t="e">
        <f t="shared" si="1"/>
        <v>#REF!</v>
      </c>
      <c r="E60" s="61"/>
      <c r="F60" s="61"/>
      <c r="G60" s="61"/>
      <c r="H60" s="111"/>
      <c r="I60" s="53"/>
    </row>
    <row r="61" spans="1:9" ht="15" hidden="1" x14ac:dyDescent="0.2">
      <c r="A61" s="10">
        <f t="shared" si="5"/>
        <v>2009</v>
      </c>
      <c r="B61" t="s">
        <v>17</v>
      </c>
      <c r="C61" s="11" t="e">
        <f>#REF!</f>
        <v>#REF!</v>
      </c>
      <c r="D61" s="59" t="e">
        <f t="shared" si="1"/>
        <v>#REF!</v>
      </c>
      <c r="E61" s="59"/>
      <c r="F61" s="59"/>
      <c r="G61" s="59"/>
      <c r="H61" s="111"/>
      <c r="I61" s="53"/>
    </row>
    <row r="62" spans="1:9" ht="15.75" hidden="1" thickBot="1" x14ac:dyDescent="0.25">
      <c r="A62" s="29">
        <f t="shared" si="5"/>
        <v>2009</v>
      </c>
      <c r="B62" s="30" t="s">
        <v>18</v>
      </c>
      <c r="C62" s="31" t="e">
        <f>#REF!</f>
        <v>#REF!</v>
      </c>
      <c r="D62" s="62" t="e">
        <f t="shared" si="1"/>
        <v>#REF!</v>
      </c>
      <c r="E62" s="89" t="e">
        <f>(SUM(C60:C62)-SUM(C57:C59))/SUM(C57:C59)</f>
        <v>#REF!</v>
      </c>
      <c r="F62" s="89" t="e">
        <f>(SUM(C57:C62)-SUM(C51:C56))/SUM(C51:C56)</f>
        <v>#REF!</v>
      </c>
      <c r="G62" s="62" t="e">
        <f>(SUM(C51:C62)-SUM(C39:C50))/SUM(C39:C50)</f>
        <v>#REF!</v>
      </c>
      <c r="H62" s="111"/>
      <c r="I62" s="53"/>
    </row>
    <row r="63" spans="1:9" ht="15" hidden="1" x14ac:dyDescent="0.2">
      <c r="A63" s="46">
        <v>2010</v>
      </c>
      <c r="B63" s="47" t="s">
        <v>8</v>
      </c>
      <c r="C63" s="11" t="e">
        <f>#REF!</f>
        <v>#REF!</v>
      </c>
      <c r="D63" s="59" t="e">
        <f t="shared" si="1"/>
        <v>#REF!</v>
      </c>
      <c r="E63" s="92"/>
      <c r="F63" s="92"/>
      <c r="G63" s="92"/>
      <c r="H63" s="55"/>
      <c r="I63" s="45"/>
    </row>
    <row r="64" spans="1:9" ht="15" hidden="1" x14ac:dyDescent="0.2">
      <c r="A64" s="10">
        <f>A63</f>
        <v>2010</v>
      </c>
      <c r="B64" t="s">
        <v>9</v>
      </c>
      <c r="C64" s="11" t="e">
        <f>#REF!</f>
        <v>#REF!</v>
      </c>
      <c r="D64" s="59" t="e">
        <f t="shared" si="1"/>
        <v>#REF!</v>
      </c>
      <c r="E64" s="92"/>
      <c r="F64" s="92"/>
      <c r="G64" s="92"/>
      <c r="H64" s="55"/>
      <c r="I64" s="45"/>
    </row>
    <row r="65" spans="1:9" ht="15" hidden="1" x14ac:dyDescent="0.2">
      <c r="A65" s="12">
        <f t="shared" ref="A65:A74" si="6">A64</f>
        <v>2010</v>
      </c>
      <c r="B65" s="13" t="s">
        <v>10</v>
      </c>
      <c r="C65" s="14" t="e">
        <f>#REF!</f>
        <v>#REF!</v>
      </c>
      <c r="D65" s="60" t="e">
        <f t="shared" si="1"/>
        <v>#REF!</v>
      </c>
      <c r="E65" s="64" t="e">
        <f>(SUM(C63:C65)-SUM(C60:C62))/SUM(C60:C62)</f>
        <v>#REF!</v>
      </c>
      <c r="F65" s="64"/>
      <c r="G65" s="64"/>
      <c r="H65" s="90"/>
      <c r="I65" s="45"/>
    </row>
    <row r="66" spans="1:9" ht="15" hidden="1" x14ac:dyDescent="0.2">
      <c r="A66" s="17">
        <f t="shared" si="6"/>
        <v>2010</v>
      </c>
      <c r="B66" s="18" t="s">
        <v>11</v>
      </c>
      <c r="C66" s="19" t="e">
        <f>#REF!</f>
        <v>#REF!</v>
      </c>
      <c r="D66" s="61" t="e">
        <f t="shared" si="1"/>
        <v>#REF!</v>
      </c>
      <c r="E66" s="95"/>
      <c r="F66" s="95"/>
      <c r="G66" s="95"/>
      <c r="H66" s="24"/>
      <c r="I66" s="45"/>
    </row>
    <row r="67" spans="1:9" ht="15" hidden="1" x14ac:dyDescent="0.2">
      <c r="A67" s="10">
        <f t="shared" si="6"/>
        <v>2010</v>
      </c>
      <c r="B67" t="s">
        <v>12</v>
      </c>
      <c r="C67" s="11" t="e">
        <f>#REF!</f>
        <v>#REF!</v>
      </c>
      <c r="D67" s="59" t="e">
        <f t="shared" si="1"/>
        <v>#REF!</v>
      </c>
      <c r="E67" s="92"/>
      <c r="F67" s="92"/>
      <c r="G67" s="92"/>
      <c r="H67" s="55"/>
      <c r="I67" s="45"/>
    </row>
    <row r="68" spans="1:9" ht="15" hidden="1" x14ac:dyDescent="0.2">
      <c r="A68" s="12">
        <f t="shared" si="6"/>
        <v>2010</v>
      </c>
      <c r="B68" s="13" t="s">
        <v>13</v>
      </c>
      <c r="C68" s="14" t="e">
        <f>#REF!</f>
        <v>#REF!</v>
      </c>
      <c r="D68" s="60" t="e">
        <f t="shared" si="1"/>
        <v>#REF!</v>
      </c>
      <c r="E68" s="64" t="e">
        <f>(SUM(C66:C68)-SUM(C63:C65))/SUM(C63:C65)</f>
        <v>#REF!</v>
      </c>
      <c r="F68" s="64" t="e">
        <f>(SUM(C63:C68)-SUM(C57:C62))/SUM(C57:C62)</f>
        <v>#REF!</v>
      </c>
      <c r="G68" s="64"/>
      <c r="H68" s="90"/>
      <c r="I68" s="45"/>
    </row>
    <row r="69" spans="1:9" ht="15" hidden="1" x14ac:dyDescent="0.2">
      <c r="A69" s="17">
        <f t="shared" si="6"/>
        <v>2010</v>
      </c>
      <c r="B69" s="22" t="s">
        <v>30</v>
      </c>
      <c r="C69" s="19" t="e">
        <f>#REF!</f>
        <v>#REF!</v>
      </c>
      <c r="D69" s="61" t="e">
        <f t="shared" ref="D69:D86" si="7">(C69-C68)/C68</f>
        <v>#REF!</v>
      </c>
      <c r="E69" s="95"/>
      <c r="F69" s="95"/>
      <c r="G69" s="95"/>
      <c r="H69" s="24"/>
      <c r="I69" s="45"/>
    </row>
    <row r="70" spans="1:9" ht="15" hidden="1" x14ac:dyDescent="0.2">
      <c r="A70" s="10">
        <f t="shared" si="6"/>
        <v>2010</v>
      </c>
      <c r="B70" t="s">
        <v>14</v>
      </c>
      <c r="C70" s="11" t="e">
        <f>#REF!</f>
        <v>#REF!</v>
      </c>
      <c r="D70" s="59" t="e">
        <f t="shared" si="7"/>
        <v>#REF!</v>
      </c>
      <c r="E70" s="92"/>
      <c r="F70" s="92"/>
      <c r="G70" s="92"/>
      <c r="H70" s="55"/>
      <c r="I70" s="45"/>
    </row>
    <row r="71" spans="1:9" ht="15" hidden="1" x14ac:dyDescent="0.2">
      <c r="A71" s="12">
        <f t="shared" si="6"/>
        <v>2010</v>
      </c>
      <c r="B71" s="13" t="s">
        <v>15</v>
      </c>
      <c r="C71" s="14" t="e">
        <f>#REF!</f>
        <v>#REF!</v>
      </c>
      <c r="D71" s="60" t="e">
        <f t="shared" si="7"/>
        <v>#REF!</v>
      </c>
      <c r="E71" s="64" t="e">
        <f>(SUM(C69:C71)-SUM(C66:C68))/SUM(C66:C68)</f>
        <v>#REF!</v>
      </c>
      <c r="F71" s="64"/>
      <c r="G71" s="64"/>
      <c r="H71" s="90"/>
      <c r="I71" s="53"/>
    </row>
    <row r="72" spans="1:9" ht="15" hidden="1" x14ac:dyDescent="0.2">
      <c r="A72" s="17">
        <f t="shared" si="6"/>
        <v>2010</v>
      </c>
      <c r="B72" s="18" t="s">
        <v>16</v>
      </c>
      <c r="C72" s="19" t="e">
        <f>#REF!</f>
        <v>#REF!</v>
      </c>
      <c r="D72" s="61" t="e">
        <f t="shared" si="7"/>
        <v>#REF!</v>
      </c>
      <c r="E72" s="95"/>
      <c r="F72" s="95"/>
      <c r="G72" s="95"/>
      <c r="H72" s="24"/>
      <c r="I72" s="53"/>
    </row>
    <row r="73" spans="1:9" ht="15" hidden="1" x14ac:dyDescent="0.2">
      <c r="A73" s="10">
        <f t="shared" si="6"/>
        <v>2010</v>
      </c>
      <c r="B73" t="s">
        <v>17</v>
      </c>
      <c r="C73" s="11" t="e">
        <f>#REF!</f>
        <v>#REF!</v>
      </c>
      <c r="D73" s="92" t="e">
        <f t="shared" si="7"/>
        <v>#REF!</v>
      </c>
      <c r="E73" s="92"/>
      <c r="F73" s="92"/>
      <c r="G73" s="92"/>
      <c r="H73" s="55"/>
      <c r="I73" s="53"/>
    </row>
    <row r="74" spans="1:9" ht="15.75" hidden="1" thickBot="1" x14ac:dyDescent="0.25">
      <c r="A74" s="29">
        <f t="shared" si="6"/>
        <v>2010</v>
      </c>
      <c r="B74" s="30" t="s">
        <v>18</v>
      </c>
      <c r="C74" s="31" t="e">
        <f>#REF!</f>
        <v>#REF!</v>
      </c>
      <c r="D74" s="62" t="e">
        <f t="shared" si="7"/>
        <v>#REF!</v>
      </c>
      <c r="E74" s="89" t="e">
        <f>(SUM(C72:C74)-SUM(C69:C71))/SUM(C69:C71)</f>
        <v>#REF!</v>
      </c>
      <c r="F74" s="89" t="e">
        <f>(SUM(C69:C74)-SUM(C63:C68))/SUM(C63:C68)</f>
        <v>#REF!</v>
      </c>
      <c r="G74" s="89" t="e">
        <f>(SUM(C63:C74)-SUM(C51:C62))/SUM(C51:C62)</f>
        <v>#REF!</v>
      </c>
      <c r="H74" s="87"/>
      <c r="I74" s="53"/>
    </row>
    <row r="75" spans="1:9" ht="15" hidden="1" x14ac:dyDescent="0.2">
      <c r="A75" s="2">
        <v>2011</v>
      </c>
      <c r="B75" t="s">
        <v>8</v>
      </c>
      <c r="C75" s="55" t="e">
        <f>#REF!</f>
        <v>#REF!</v>
      </c>
      <c r="D75" s="48" t="e">
        <f t="shared" si="7"/>
        <v>#REF!</v>
      </c>
      <c r="E75" s="97"/>
      <c r="F75" s="97"/>
      <c r="G75" s="97"/>
      <c r="H75" s="55"/>
      <c r="I75" s="45"/>
    </row>
    <row r="76" spans="1:9" ht="15" hidden="1" x14ac:dyDescent="0.2">
      <c r="A76" s="10">
        <f>A75</f>
        <v>2011</v>
      </c>
      <c r="B76" t="s">
        <v>9</v>
      </c>
      <c r="C76" s="55" t="e">
        <f>#REF!</f>
        <v>#REF!</v>
      </c>
      <c r="D76" s="59" t="e">
        <f t="shared" si="7"/>
        <v>#REF!</v>
      </c>
      <c r="E76" s="92"/>
      <c r="F76" s="92"/>
      <c r="G76" s="92"/>
      <c r="H76" s="55"/>
      <c r="I76" s="45"/>
    </row>
    <row r="77" spans="1:9" ht="15" hidden="1" x14ac:dyDescent="0.2">
      <c r="A77" s="12">
        <f t="shared" ref="A77:A86" si="8">A76</f>
        <v>2011</v>
      </c>
      <c r="B77" s="13" t="s">
        <v>10</v>
      </c>
      <c r="C77" s="90" t="e">
        <f>#REF!</f>
        <v>#REF!</v>
      </c>
      <c r="D77" s="60" t="e">
        <f t="shared" si="7"/>
        <v>#REF!</v>
      </c>
      <c r="E77" s="64" t="e">
        <f>(SUM(C75:C77)-SUM(C72:C74))/SUM(C72:C74)</f>
        <v>#REF!</v>
      </c>
      <c r="F77" s="64"/>
      <c r="G77" s="64"/>
      <c r="H77" s="90"/>
      <c r="I77" s="45"/>
    </row>
    <row r="78" spans="1:9" ht="15" hidden="1" x14ac:dyDescent="0.2">
      <c r="A78" s="17">
        <f t="shared" si="8"/>
        <v>2011</v>
      </c>
      <c r="B78" s="18" t="s">
        <v>11</v>
      </c>
      <c r="C78" s="24" t="e">
        <f>#REF!</f>
        <v>#REF!</v>
      </c>
      <c r="D78" s="61" t="e">
        <f t="shared" si="7"/>
        <v>#REF!</v>
      </c>
      <c r="E78" s="95"/>
      <c r="F78" s="95"/>
      <c r="G78" s="95"/>
      <c r="H78" s="24"/>
      <c r="I78" s="45"/>
    </row>
    <row r="79" spans="1:9" ht="15" hidden="1" x14ac:dyDescent="0.2">
      <c r="A79" s="10">
        <f t="shared" si="8"/>
        <v>2011</v>
      </c>
      <c r="B79" t="s">
        <v>12</v>
      </c>
      <c r="C79" s="55" t="e">
        <f>#REF!</f>
        <v>#REF!</v>
      </c>
      <c r="D79" s="59" t="e">
        <f t="shared" si="7"/>
        <v>#REF!</v>
      </c>
      <c r="E79" s="92"/>
      <c r="F79" s="92"/>
      <c r="G79" s="92"/>
      <c r="H79" s="55"/>
      <c r="I79" s="45"/>
    </row>
    <row r="80" spans="1:9" ht="15" hidden="1" x14ac:dyDescent="0.2">
      <c r="A80" s="12">
        <f t="shared" si="8"/>
        <v>2011</v>
      </c>
      <c r="B80" s="13" t="s">
        <v>13</v>
      </c>
      <c r="C80" s="90" t="e">
        <f>#REF!</f>
        <v>#REF!</v>
      </c>
      <c r="D80" s="60" t="e">
        <f t="shared" si="7"/>
        <v>#REF!</v>
      </c>
      <c r="E80" s="64" t="e">
        <f>(SUM(C78:C80)-SUM(C75:C77))/SUM(C75:C77)</f>
        <v>#REF!</v>
      </c>
      <c r="F80" s="64" t="e">
        <f>(SUM(C75:C80)-SUM(C69:C74))/SUM(C69:C74)</f>
        <v>#REF!</v>
      </c>
      <c r="G80" s="64"/>
      <c r="H80" s="90"/>
      <c r="I80" s="45"/>
    </row>
    <row r="81" spans="1:9" ht="15" hidden="1" x14ac:dyDescent="0.2">
      <c r="A81" s="17">
        <f t="shared" si="8"/>
        <v>2011</v>
      </c>
      <c r="B81" s="22" t="s">
        <v>30</v>
      </c>
      <c r="C81" s="24" t="e">
        <f>#REF!</f>
        <v>#REF!</v>
      </c>
      <c r="D81" s="61" t="e">
        <f t="shared" si="7"/>
        <v>#REF!</v>
      </c>
      <c r="E81" s="95"/>
      <c r="F81" s="95"/>
      <c r="G81" s="95"/>
      <c r="H81" s="24"/>
      <c r="I81" s="45"/>
    </row>
    <row r="82" spans="1:9" ht="15" hidden="1" x14ac:dyDescent="0.2">
      <c r="A82" s="10">
        <f t="shared" si="8"/>
        <v>2011</v>
      </c>
      <c r="B82" t="s">
        <v>14</v>
      </c>
      <c r="C82" s="55" t="e">
        <f>#REF!</f>
        <v>#REF!</v>
      </c>
      <c r="D82" s="59" t="e">
        <f t="shared" si="7"/>
        <v>#REF!</v>
      </c>
      <c r="E82" s="92"/>
      <c r="F82" s="92"/>
      <c r="G82" s="92"/>
      <c r="H82" s="55"/>
      <c r="I82" s="45"/>
    </row>
    <row r="83" spans="1:9" ht="15" hidden="1" x14ac:dyDescent="0.2">
      <c r="A83" s="12">
        <f t="shared" si="8"/>
        <v>2011</v>
      </c>
      <c r="B83" s="13" t="s">
        <v>15</v>
      </c>
      <c r="C83" s="90" t="e">
        <f>#REF!</f>
        <v>#REF!</v>
      </c>
      <c r="D83" s="60" t="e">
        <f t="shared" si="7"/>
        <v>#REF!</v>
      </c>
      <c r="E83" s="64" t="e">
        <f>(SUM(C81:C83)-SUM(C78:C80))/SUM(C78:C80)</f>
        <v>#REF!</v>
      </c>
      <c r="F83" s="64"/>
      <c r="G83" s="64"/>
      <c r="H83" s="90"/>
      <c r="I83" s="53"/>
    </row>
    <row r="84" spans="1:9" ht="15" hidden="1" x14ac:dyDescent="0.2">
      <c r="A84" s="17">
        <f t="shared" si="8"/>
        <v>2011</v>
      </c>
      <c r="B84" s="18" t="s">
        <v>16</v>
      </c>
      <c r="C84" s="24" t="e">
        <f>#REF!</f>
        <v>#REF!</v>
      </c>
      <c r="D84" s="59" t="e">
        <f t="shared" si="7"/>
        <v>#REF!</v>
      </c>
      <c r="E84" s="95"/>
      <c r="F84" s="95"/>
      <c r="G84" s="95"/>
      <c r="H84" s="24"/>
      <c r="I84" s="53"/>
    </row>
    <row r="85" spans="1:9" ht="15" hidden="1" x14ac:dyDescent="0.2">
      <c r="A85" s="10">
        <f t="shared" si="8"/>
        <v>2011</v>
      </c>
      <c r="B85" t="s">
        <v>17</v>
      </c>
      <c r="C85" s="55" t="e">
        <f>#REF!</f>
        <v>#REF!</v>
      </c>
      <c r="D85" s="59" t="e">
        <f t="shared" si="7"/>
        <v>#REF!</v>
      </c>
      <c r="E85" s="92"/>
      <c r="F85" s="92"/>
      <c r="G85" s="92"/>
      <c r="H85" s="55"/>
      <c r="I85" s="53"/>
    </row>
    <row r="86" spans="1:9" ht="15.75" hidden="1" thickBot="1" x14ac:dyDescent="0.25">
      <c r="A86" s="29">
        <f t="shared" si="8"/>
        <v>2011</v>
      </c>
      <c r="B86" s="30" t="s">
        <v>18</v>
      </c>
      <c r="C86" s="87" t="e">
        <f>#REF!</f>
        <v>#REF!</v>
      </c>
      <c r="D86" s="62" t="e">
        <f t="shared" si="7"/>
        <v>#REF!</v>
      </c>
      <c r="E86" s="92" t="e">
        <f>(SUM(C84:C86)-SUM(C81:C83))/SUM(C81:C83)</f>
        <v>#REF!</v>
      </c>
      <c r="F86" s="92" t="e">
        <f>(SUM(C81:C86)-SUM(C75:C80))/SUM(C75:C80)</f>
        <v>#REF!</v>
      </c>
      <c r="G86" s="92" t="e">
        <f>(SUM(C75:C86)-SUM(C63:C74))/SUM(C63:C74)</f>
        <v>#REF!</v>
      </c>
      <c r="H86" s="87"/>
      <c r="I86" s="53"/>
    </row>
    <row r="87" spans="1:9" ht="13.5" hidden="1" customHeight="1" x14ac:dyDescent="0.2">
      <c r="A87" s="2">
        <v>2012</v>
      </c>
      <c r="B87" t="s">
        <v>8</v>
      </c>
      <c r="C87" s="55" t="e">
        <f>#REF!</f>
        <v>#REF!</v>
      </c>
      <c r="D87" s="92" t="e">
        <f t="shared" ref="D87:D110" si="9">(C87-C86)/C86</f>
        <v>#REF!</v>
      </c>
      <c r="E87" s="97"/>
      <c r="F87" s="97"/>
      <c r="G87" s="97"/>
      <c r="H87" s="55"/>
    </row>
    <row r="88" spans="1:9" hidden="1" x14ac:dyDescent="0.2">
      <c r="A88" s="10">
        <f>A87</f>
        <v>2012</v>
      </c>
      <c r="B88" t="s">
        <v>9</v>
      </c>
      <c r="C88" s="55" t="e">
        <f>#REF!</f>
        <v>#REF!</v>
      </c>
      <c r="D88" s="92" t="e">
        <f t="shared" si="9"/>
        <v>#REF!</v>
      </c>
      <c r="E88" s="92"/>
      <c r="F88" s="92"/>
      <c r="G88" s="92"/>
      <c r="H88" s="55"/>
    </row>
    <row r="89" spans="1:9" hidden="1" x14ac:dyDescent="0.2">
      <c r="A89" s="12">
        <f t="shared" ref="A89:A98" si="10">A88</f>
        <v>2012</v>
      </c>
      <c r="B89" s="13" t="s">
        <v>10</v>
      </c>
      <c r="C89" s="90" t="e">
        <f>#REF!</f>
        <v>#REF!</v>
      </c>
      <c r="D89" s="64" t="e">
        <f t="shared" si="9"/>
        <v>#REF!</v>
      </c>
      <c r="E89" s="64" t="e">
        <f>(SUM(C87:C89)-SUM(C84:C86))/SUM(C84:C86)</f>
        <v>#REF!</v>
      </c>
      <c r="F89" s="64"/>
      <c r="G89" s="64"/>
      <c r="H89" s="90"/>
    </row>
    <row r="90" spans="1:9" hidden="1" x14ac:dyDescent="0.2">
      <c r="A90" s="17">
        <f t="shared" si="10"/>
        <v>2012</v>
      </c>
      <c r="B90" s="18" t="s">
        <v>11</v>
      </c>
      <c r="C90" s="24" t="e">
        <f>#REF!</f>
        <v>#REF!</v>
      </c>
      <c r="D90" s="95" t="e">
        <f t="shared" si="9"/>
        <v>#REF!</v>
      </c>
      <c r="E90" s="95"/>
      <c r="F90" s="95"/>
      <c r="G90" s="95"/>
      <c r="H90" s="24"/>
    </row>
    <row r="91" spans="1:9" hidden="1" x14ac:dyDescent="0.2">
      <c r="A91" s="10">
        <f t="shared" si="10"/>
        <v>2012</v>
      </c>
      <c r="B91" t="s">
        <v>12</v>
      </c>
      <c r="C91" s="55" t="e">
        <f>#REF!</f>
        <v>#REF!</v>
      </c>
      <c r="D91" s="92" t="e">
        <f t="shared" si="9"/>
        <v>#REF!</v>
      </c>
      <c r="E91" s="92"/>
      <c r="F91" s="92"/>
      <c r="G91" s="92"/>
      <c r="H91" s="55"/>
    </row>
    <row r="92" spans="1:9" hidden="1" x14ac:dyDescent="0.2">
      <c r="A92" s="12">
        <f t="shared" si="10"/>
        <v>2012</v>
      </c>
      <c r="B92" s="13" t="s">
        <v>13</v>
      </c>
      <c r="C92" s="90" t="e">
        <f>#REF!</f>
        <v>#REF!</v>
      </c>
      <c r="D92" s="64" t="e">
        <f t="shared" si="9"/>
        <v>#REF!</v>
      </c>
      <c r="E92" s="64" t="e">
        <f>(SUM(C90:C92)-SUM(C87:C89))/SUM(C87:C89)</f>
        <v>#REF!</v>
      </c>
      <c r="F92" s="64" t="e">
        <f>(SUM(C87:C92)-SUM(C81:C86))/SUM(C81:C86)</f>
        <v>#REF!</v>
      </c>
      <c r="G92" s="64"/>
      <c r="H92" s="90"/>
    </row>
    <row r="93" spans="1:9" hidden="1" x14ac:dyDescent="0.2">
      <c r="A93" s="17">
        <f t="shared" si="10"/>
        <v>2012</v>
      </c>
      <c r="B93" s="22" t="s">
        <v>30</v>
      </c>
      <c r="C93" s="24" t="e">
        <f>#REF!</f>
        <v>#REF!</v>
      </c>
      <c r="D93" s="95" t="e">
        <f t="shared" si="9"/>
        <v>#REF!</v>
      </c>
      <c r="E93" s="95"/>
      <c r="F93" s="95"/>
      <c r="G93" s="95"/>
      <c r="H93" s="24"/>
    </row>
    <row r="94" spans="1:9" hidden="1" x14ac:dyDescent="0.2">
      <c r="A94" s="10">
        <f t="shared" si="10"/>
        <v>2012</v>
      </c>
      <c r="B94" t="s">
        <v>14</v>
      </c>
      <c r="C94" s="55" t="e">
        <f>#REF!</f>
        <v>#REF!</v>
      </c>
      <c r="D94" s="92" t="e">
        <f t="shared" si="9"/>
        <v>#REF!</v>
      </c>
      <c r="E94" s="92"/>
      <c r="F94" s="92"/>
      <c r="G94" s="92"/>
      <c r="H94" s="55"/>
    </row>
    <row r="95" spans="1:9" hidden="1" x14ac:dyDescent="0.2">
      <c r="A95" s="12">
        <f t="shared" si="10"/>
        <v>2012</v>
      </c>
      <c r="B95" s="13" t="s">
        <v>15</v>
      </c>
      <c r="C95" s="90" t="e">
        <f>#REF!</f>
        <v>#REF!</v>
      </c>
      <c r="D95" s="64" t="e">
        <f t="shared" si="9"/>
        <v>#REF!</v>
      </c>
      <c r="E95" s="64" t="e">
        <f>(SUM(C93:C95)-SUM(C90:C92))/SUM(C90:C92)</f>
        <v>#REF!</v>
      </c>
      <c r="F95" s="64"/>
      <c r="G95" s="64"/>
      <c r="H95" s="90"/>
    </row>
    <row r="96" spans="1:9" hidden="1" x14ac:dyDescent="0.2">
      <c r="A96" s="17">
        <f t="shared" si="10"/>
        <v>2012</v>
      </c>
      <c r="B96" s="18" t="s">
        <v>16</v>
      </c>
      <c r="C96" s="24" t="e">
        <f>#REF!</f>
        <v>#REF!</v>
      </c>
      <c r="D96" s="92" t="e">
        <f t="shared" si="9"/>
        <v>#REF!</v>
      </c>
      <c r="E96" s="95"/>
      <c r="F96" s="95"/>
      <c r="G96" s="95"/>
      <c r="H96" s="24"/>
    </row>
    <row r="97" spans="1:8" hidden="1" x14ac:dyDescent="0.2">
      <c r="A97" s="10">
        <f t="shared" si="10"/>
        <v>2012</v>
      </c>
      <c r="B97" t="s">
        <v>17</v>
      </c>
      <c r="C97" s="55" t="e">
        <f>#REF!</f>
        <v>#REF!</v>
      </c>
      <c r="D97" s="92" t="e">
        <f t="shared" si="9"/>
        <v>#REF!</v>
      </c>
      <c r="E97" s="92"/>
      <c r="F97" s="92"/>
      <c r="G97" s="92"/>
      <c r="H97" s="55"/>
    </row>
    <row r="98" spans="1:8" ht="13.5" hidden="1" thickBot="1" x14ac:dyDescent="0.25">
      <c r="A98" s="29">
        <f t="shared" si="10"/>
        <v>2012</v>
      </c>
      <c r="B98" s="30" t="s">
        <v>18</v>
      </c>
      <c r="C98" s="87" t="e">
        <f>#REF!</f>
        <v>#REF!</v>
      </c>
      <c r="D98" s="89" t="e">
        <f t="shared" si="9"/>
        <v>#REF!</v>
      </c>
      <c r="E98" s="92" t="e">
        <f>(SUM(C96:C98)-SUM(C93:C95))/SUM(C93:C95)</f>
        <v>#REF!</v>
      </c>
      <c r="F98" s="92" t="e">
        <f>(SUM(C93:C98)-SUM(C87:C92))/SUM(C87:C92)</f>
        <v>#REF!</v>
      </c>
      <c r="G98" s="92" t="e">
        <f>(SUM(C87:C98)-SUM(C75:C86))/SUM(C75:C86)</f>
        <v>#REF!</v>
      </c>
      <c r="H98" s="87" t="e">
        <f>(C87+C88+C89+C90+C91+C92+C93+C94+C95+C96+C97+C98)/12</f>
        <v>#REF!</v>
      </c>
    </row>
    <row r="99" spans="1:8" hidden="1" x14ac:dyDescent="0.2">
      <c r="A99" s="2">
        <v>2013</v>
      </c>
      <c r="B99" t="s">
        <v>8</v>
      </c>
      <c r="C99" s="55" t="e">
        <f>#REF!</f>
        <v>#REF!</v>
      </c>
      <c r="D99" s="92" t="e">
        <f t="shared" si="9"/>
        <v>#REF!</v>
      </c>
      <c r="E99" s="97"/>
      <c r="F99" s="97"/>
      <c r="G99" s="97"/>
      <c r="H99" s="55"/>
    </row>
    <row r="100" spans="1:8" hidden="1" x14ac:dyDescent="0.2">
      <c r="A100" s="10">
        <f>A99</f>
        <v>2013</v>
      </c>
      <c r="B100" t="s">
        <v>9</v>
      </c>
      <c r="C100" s="55" t="e">
        <f>#REF!</f>
        <v>#REF!</v>
      </c>
      <c r="D100" s="92" t="e">
        <f t="shared" si="9"/>
        <v>#REF!</v>
      </c>
      <c r="E100" s="92"/>
      <c r="F100" s="92"/>
      <c r="G100" s="92"/>
      <c r="H100" s="55"/>
    </row>
    <row r="101" spans="1:8" hidden="1" x14ac:dyDescent="0.2">
      <c r="A101" s="12">
        <f t="shared" ref="A101:A110" si="11">A100</f>
        <v>2013</v>
      </c>
      <c r="B101" s="13" t="s">
        <v>10</v>
      </c>
      <c r="C101" s="90" t="e">
        <f>#REF!</f>
        <v>#REF!</v>
      </c>
      <c r="D101" s="64" t="e">
        <f t="shared" si="9"/>
        <v>#REF!</v>
      </c>
      <c r="E101" s="64" t="e">
        <f>(SUM(C99:C101)-SUM(C96:C98))/SUM(C96:C98)</f>
        <v>#REF!</v>
      </c>
      <c r="F101" s="64"/>
      <c r="G101" s="64"/>
      <c r="H101" s="90"/>
    </row>
    <row r="102" spans="1:8" hidden="1" x14ac:dyDescent="0.2">
      <c r="A102" s="17">
        <f t="shared" si="11"/>
        <v>2013</v>
      </c>
      <c r="B102" s="18" t="s">
        <v>11</v>
      </c>
      <c r="C102" s="24" t="e">
        <f>#REF!</f>
        <v>#REF!</v>
      </c>
      <c r="D102" s="113" t="e">
        <f t="shared" si="9"/>
        <v>#REF!</v>
      </c>
      <c r="E102" s="113"/>
      <c r="F102" s="113"/>
      <c r="G102" s="113"/>
      <c r="H102" s="24"/>
    </row>
    <row r="103" spans="1:8" hidden="1" x14ac:dyDescent="0.2">
      <c r="A103" s="10">
        <f t="shared" si="11"/>
        <v>2013</v>
      </c>
      <c r="B103" t="s">
        <v>12</v>
      </c>
      <c r="C103" s="55" t="e">
        <f>#REF!</f>
        <v>#REF!</v>
      </c>
      <c r="D103" s="92" t="e">
        <f t="shared" si="9"/>
        <v>#REF!</v>
      </c>
      <c r="E103" s="92"/>
      <c r="F103" s="92"/>
      <c r="G103" s="92"/>
      <c r="H103" s="55"/>
    </row>
    <row r="104" spans="1:8" hidden="1" x14ac:dyDescent="0.2">
      <c r="A104" s="12">
        <f t="shared" si="11"/>
        <v>2013</v>
      </c>
      <c r="B104" s="13" t="s">
        <v>13</v>
      </c>
      <c r="C104" s="90" t="e">
        <f>#REF!</f>
        <v>#REF!</v>
      </c>
      <c r="D104" s="64" t="e">
        <f t="shared" si="9"/>
        <v>#REF!</v>
      </c>
      <c r="E104" s="64" t="e">
        <f>(SUM(C102:C104)-SUM(C99:C101))/SUM(C99:C101)</f>
        <v>#REF!</v>
      </c>
      <c r="F104" s="64" t="e">
        <f>(SUM(C99:C104)-SUM(C93:C98))/SUM(C93:C98)</f>
        <v>#REF!</v>
      </c>
      <c r="G104" s="64"/>
      <c r="H104" s="90"/>
    </row>
    <row r="105" spans="1:8" hidden="1" x14ac:dyDescent="0.2">
      <c r="A105" s="17">
        <f t="shared" si="11"/>
        <v>2013</v>
      </c>
      <c r="B105" s="22" t="s">
        <v>30</v>
      </c>
      <c r="C105" s="24" t="e">
        <f>#REF!</f>
        <v>#REF!</v>
      </c>
      <c r="D105" s="95" t="e">
        <f t="shared" si="9"/>
        <v>#REF!</v>
      </c>
      <c r="E105" s="95"/>
      <c r="F105" s="95"/>
      <c r="G105" s="95"/>
      <c r="H105" s="24"/>
    </row>
    <row r="106" spans="1:8" hidden="1" x14ac:dyDescent="0.2">
      <c r="A106" s="10">
        <f t="shared" si="11"/>
        <v>2013</v>
      </c>
      <c r="B106" t="s">
        <v>14</v>
      </c>
      <c r="C106" s="55" t="e">
        <f>#REF!</f>
        <v>#REF!</v>
      </c>
      <c r="D106" s="92" t="e">
        <f t="shared" si="9"/>
        <v>#REF!</v>
      </c>
      <c r="E106" s="92"/>
      <c r="F106" s="92"/>
      <c r="G106" s="92"/>
      <c r="H106" s="55"/>
    </row>
    <row r="107" spans="1:8" hidden="1" x14ac:dyDescent="0.2">
      <c r="A107" s="12">
        <f t="shared" si="11"/>
        <v>2013</v>
      </c>
      <c r="B107" s="13" t="s">
        <v>15</v>
      </c>
      <c r="C107" s="90" t="e">
        <f>#REF!</f>
        <v>#REF!</v>
      </c>
      <c r="D107" s="64" t="e">
        <f t="shared" si="9"/>
        <v>#REF!</v>
      </c>
      <c r="E107" s="64" t="e">
        <f>(SUM(C105:C107)-SUM(C102:C104))/SUM(C102:C104)</f>
        <v>#REF!</v>
      </c>
      <c r="F107" s="64"/>
      <c r="G107" s="64"/>
      <c r="H107" s="90"/>
    </row>
    <row r="108" spans="1:8" hidden="1" x14ac:dyDescent="0.2">
      <c r="A108" s="17">
        <f t="shared" si="11"/>
        <v>2013</v>
      </c>
      <c r="B108" s="18" t="s">
        <v>16</v>
      </c>
      <c r="C108" s="24" t="e">
        <f>#REF!</f>
        <v>#REF!</v>
      </c>
      <c r="D108" s="92" t="e">
        <f t="shared" si="9"/>
        <v>#REF!</v>
      </c>
      <c r="E108" s="95"/>
      <c r="F108" s="95"/>
      <c r="G108" s="95"/>
      <c r="H108" s="24"/>
    </row>
    <row r="109" spans="1:8" hidden="1" x14ac:dyDescent="0.2">
      <c r="A109" s="10">
        <f t="shared" si="11"/>
        <v>2013</v>
      </c>
      <c r="B109" t="s">
        <v>17</v>
      </c>
      <c r="C109" s="55" t="e">
        <f>#REF!</f>
        <v>#REF!</v>
      </c>
      <c r="D109" s="92" t="e">
        <f t="shared" si="9"/>
        <v>#REF!</v>
      </c>
      <c r="E109" s="92"/>
      <c r="F109" s="92"/>
      <c r="G109" s="92"/>
      <c r="H109" s="55"/>
    </row>
    <row r="110" spans="1:8" ht="13.5" hidden="1" thickBot="1" x14ac:dyDescent="0.25">
      <c r="A110" s="29">
        <f t="shared" si="11"/>
        <v>2013</v>
      </c>
      <c r="B110" s="30" t="s">
        <v>18</v>
      </c>
      <c r="C110" s="87" t="e">
        <f>#REF!</f>
        <v>#REF!</v>
      </c>
      <c r="D110" s="89" t="e">
        <f t="shared" si="9"/>
        <v>#REF!</v>
      </c>
      <c r="E110" s="92" t="e">
        <f>(SUM(C108:C110)-SUM(C105:C107))/SUM(C105:C107)</f>
        <v>#REF!</v>
      </c>
      <c r="F110" s="92" t="e">
        <f>(SUM(C105:C110)-SUM(C99:C104))/SUM(C99:C104)</f>
        <v>#REF!</v>
      </c>
      <c r="G110" s="92" t="e">
        <f>(SUM(C99:C110)-SUM(C87:C98))/SUM(C87:C98)</f>
        <v>#REF!</v>
      </c>
      <c r="H110" s="87" t="e">
        <f>(C99+C100+C101+C102+C103+C104+C105+C106+C107+C108+C109+C110)/12</f>
        <v>#REF!</v>
      </c>
    </row>
    <row r="111" spans="1:8" hidden="1" x14ac:dyDescent="0.2">
      <c r="A111" s="2">
        <v>2014</v>
      </c>
      <c r="B111" t="s">
        <v>8</v>
      </c>
      <c r="C111" s="55" t="e">
        <f>#REF!</f>
        <v>#REF!</v>
      </c>
      <c r="D111" s="92" t="e">
        <f t="shared" ref="D111:D122" si="12">(C111-C110)/C110</f>
        <v>#REF!</v>
      </c>
      <c r="E111" s="97"/>
      <c r="F111" s="97"/>
      <c r="G111" s="97"/>
      <c r="H111" s="55"/>
    </row>
    <row r="112" spans="1:8" hidden="1" x14ac:dyDescent="0.2">
      <c r="A112" s="10">
        <f>A111</f>
        <v>2014</v>
      </c>
      <c r="B112" t="s">
        <v>9</v>
      </c>
      <c r="C112" s="55" t="e">
        <f>#REF!</f>
        <v>#REF!</v>
      </c>
      <c r="D112" s="92" t="e">
        <f t="shared" si="12"/>
        <v>#REF!</v>
      </c>
      <c r="E112" s="92"/>
      <c r="F112" s="92"/>
      <c r="G112" s="92"/>
      <c r="H112" s="55"/>
    </row>
    <row r="113" spans="1:8" hidden="1" x14ac:dyDescent="0.2">
      <c r="A113" s="12">
        <f t="shared" ref="A113:A122" si="13">A112</f>
        <v>2014</v>
      </c>
      <c r="B113" s="13" t="s">
        <v>10</v>
      </c>
      <c r="C113" s="90" t="e">
        <f>#REF!</f>
        <v>#REF!</v>
      </c>
      <c r="D113" s="64" t="e">
        <f t="shared" si="12"/>
        <v>#REF!</v>
      </c>
      <c r="E113" s="64" t="e">
        <f>(SUM(C111:C113)-SUM(C108:C110))/SUM(C108:C110)</f>
        <v>#REF!</v>
      </c>
      <c r="F113" s="64"/>
      <c r="G113" s="64"/>
      <c r="H113" s="90"/>
    </row>
    <row r="114" spans="1:8" hidden="1" x14ac:dyDescent="0.2">
      <c r="A114" s="17">
        <f t="shared" si="13"/>
        <v>2014</v>
      </c>
      <c r="B114" s="18" t="s">
        <v>11</v>
      </c>
      <c r="C114" s="24" t="e">
        <f>#REF!</f>
        <v>#REF!</v>
      </c>
      <c r="D114" s="92" t="e">
        <f t="shared" si="12"/>
        <v>#REF!</v>
      </c>
      <c r="E114" s="95"/>
      <c r="F114" s="95"/>
      <c r="G114" s="95"/>
      <c r="H114" s="24"/>
    </row>
    <row r="115" spans="1:8" hidden="1" x14ac:dyDescent="0.2">
      <c r="A115" s="10">
        <f t="shared" si="13"/>
        <v>2014</v>
      </c>
      <c r="B115" t="s">
        <v>12</v>
      </c>
      <c r="C115" s="55" t="e">
        <f>#REF!</f>
        <v>#REF!</v>
      </c>
      <c r="D115" s="92" t="e">
        <f t="shared" si="12"/>
        <v>#REF!</v>
      </c>
      <c r="E115" s="92"/>
      <c r="F115" s="92"/>
      <c r="G115" s="92"/>
      <c r="H115" s="55"/>
    </row>
    <row r="116" spans="1:8" hidden="1" x14ac:dyDescent="0.2">
      <c r="A116" s="12">
        <f t="shared" si="13"/>
        <v>2014</v>
      </c>
      <c r="B116" s="13" t="s">
        <v>13</v>
      </c>
      <c r="C116" s="90" t="e">
        <f>#REF!</f>
        <v>#REF!</v>
      </c>
      <c r="D116" s="64" t="e">
        <f t="shared" si="12"/>
        <v>#REF!</v>
      </c>
      <c r="E116" s="64" t="e">
        <f>(SUM(C114:C116)-SUM(C111:C113))/SUM(C111:C113)</f>
        <v>#REF!</v>
      </c>
      <c r="F116" s="64" t="e">
        <f>(SUM(C111:C116)-SUM(C105:C110))/SUM(C105:C110)</f>
        <v>#REF!</v>
      </c>
      <c r="G116" s="64"/>
      <c r="H116" s="90"/>
    </row>
    <row r="117" spans="1:8" hidden="1" x14ac:dyDescent="0.2">
      <c r="A117" s="17">
        <f t="shared" si="13"/>
        <v>2014</v>
      </c>
      <c r="B117" s="22" t="s">
        <v>30</v>
      </c>
      <c r="C117" s="24" t="e">
        <f>#REF!</f>
        <v>#REF!</v>
      </c>
      <c r="D117" s="95" t="e">
        <f t="shared" si="12"/>
        <v>#REF!</v>
      </c>
      <c r="E117" s="95"/>
      <c r="F117" s="95"/>
      <c r="G117" s="95"/>
      <c r="H117" s="24"/>
    </row>
    <row r="118" spans="1:8" hidden="1" x14ac:dyDescent="0.2">
      <c r="A118" s="10">
        <f t="shared" si="13"/>
        <v>2014</v>
      </c>
      <c r="B118" t="s">
        <v>14</v>
      </c>
      <c r="C118" s="55" t="e">
        <f>#REF!</f>
        <v>#REF!</v>
      </c>
      <c r="D118" s="92" t="e">
        <f t="shared" si="12"/>
        <v>#REF!</v>
      </c>
      <c r="E118" s="92"/>
      <c r="F118" s="92"/>
      <c r="G118" s="92"/>
      <c r="H118" s="55"/>
    </row>
    <row r="119" spans="1:8" hidden="1" x14ac:dyDescent="0.2">
      <c r="A119" s="12">
        <f t="shared" si="13"/>
        <v>2014</v>
      </c>
      <c r="B119" s="13" t="s">
        <v>15</v>
      </c>
      <c r="C119" s="90" t="e">
        <f>#REF!</f>
        <v>#REF!</v>
      </c>
      <c r="D119" s="64" t="e">
        <f t="shared" si="12"/>
        <v>#REF!</v>
      </c>
      <c r="E119" s="64" t="e">
        <f>(SUM(C117:C119)-SUM(C114:C116))/SUM(C114:C116)</f>
        <v>#REF!</v>
      </c>
      <c r="F119" s="64"/>
      <c r="G119" s="64"/>
      <c r="H119" s="90"/>
    </row>
    <row r="120" spans="1:8" hidden="1" x14ac:dyDescent="0.2">
      <c r="A120" s="17">
        <f t="shared" si="13"/>
        <v>2014</v>
      </c>
      <c r="B120" s="18" t="s">
        <v>16</v>
      </c>
      <c r="C120" s="24" t="e">
        <f>#REF!</f>
        <v>#REF!</v>
      </c>
      <c r="D120" s="92" t="e">
        <f t="shared" si="12"/>
        <v>#REF!</v>
      </c>
      <c r="E120" s="95"/>
      <c r="F120" s="95"/>
      <c r="G120" s="95"/>
      <c r="H120" s="24"/>
    </row>
    <row r="121" spans="1:8" hidden="1" x14ac:dyDescent="0.2">
      <c r="A121" s="10">
        <f t="shared" si="13"/>
        <v>2014</v>
      </c>
      <c r="B121" t="s">
        <v>17</v>
      </c>
      <c r="C121" s="55" t="e">
        <f>#REF!</f>
        <v>#REF!</v>
      </c>
      <c r="D121" s="92" t="e">
        <f t="shared" si="12"/>
        <v>#REF!</v>
      </c>
      <c r="E121" s="92"/>
      <c r="F121" s="92"/>
      <c r="G121" s="92"/>
      <c r="H121" s="55"/>
    </row>
    <row r="122" spans="1:8" ht="13.5" hidden="1" thickBot="1" x14ac:dyDescent="0.25">
      <c r="A122" s="29">
        <f t="shared" si="13"/>
        <v>2014</v>
      </c>
      <c r="B122" s="30" t="s">
        <v>18</v>
      </c>
      <c r="C122" s="87" t="e">
        <f>#REF!</f>
        <v>#REF!</v>
      </c>
      <c r="D122" s="89" t="e">
        <f t="shared" si="12"/>
        <v>#REF!</v>
      </c>
      <c r="E122" s="89" t="e">
        <f>(SUM(C120:C122)-SUM(C117:C119))/SUM(C117:C119)</f>
        <v>#REF!</v>
      </c>
      <c r="F122" s="89" t="e">
        <f>(SUM(C117:C122)-SUM(C111:C116))/SUM(C111:C116)</f>
        <v>#REF!</v>
      </c>
      <c r="G122" s="89" t="e">
        <f>(SUM(C111:C122)-SUM(C99:C110))/SUM(C99:C110)</f>
        <v>#REF!</v>
      </c>
      <c r="H122" s="87" t="e">
        <f>(C111+C112+C113+C114+C115+C116+C117+C118+C119+C120+C121+C122)/12</f>
        <v>#REF!</v>
      </c>
    </row>
    <row r="123" spans="1:8" hidden="1" x14ac:dyDescent="0.2">
      <c r="A123" s="46">
        <v>2015</v>
      </c>
      <c r="B123" s="47" t="s">
        <v>8</v>
      </c>
      <c r="C123" s="91" t="e">
        <f>#REF!</f>
        <v>#REF!</v>
      </c>
      <c r="D123" s="97" t="e">
        <f t="shared" ref="D123:D134" si="14">(C123-C122)/C122</f>
        <v>#REF!</v>
      </c>
      <c r="E123" s="97"/>
      <c r="F123" s="97"/>
      <c r="G123" s="97"/>
      <c r="H123" s="91"/>
    </row>
    <row r="124" spans="1:8" hidden="1" x14ac:dyDescent="0.2">
      <c r="A124" s="10">
        <f t="shared" ref="A124:A134" si="15">A123</f>
        <v>2015</v>
      </c>
      <c r="B124" t="s">
        <v>9</v>
      </c>
      <c r="C124" s="55" t="e">
        <f>#REF!</f>
        <v>#REF!</v>
      </c>
      <c r="D124" s="92" t="e">
        <f t="shared" si="14"/>
        <v>#REF!</v>
      </c>
      <c r="E124" s="92"/>
      <c r="F124" s="55"/>
      <c r="G124" s="92"/>
      <c r="H124" s="55"/>
    </row>
    <row r="125" spans="1:8" hidden="1" x14ac:dyDescent="0.2">
      <c r="A125" s="12">
        <f t="shared" si="15"/>
        <v>2015</v>
      </c>
      <c r="B125" s="13" t="s">
        <v>10</v>
      </c>
      <c r="C125" s="90" t="e">
        <f>#REF!</f>
        <v>#REF!</v>
      </c>
      <c r="D125" s="64" t="e">
        <f t="shared" si="14"/>
        <v>#REF!</v>
      </c>
      <c r="E125" s="64" t="e">
        <f>(SUM(C123:C125)-SUM(C120:C122))/SUM(C120:C122)</f>
        <v>#REF!</v>
      </c>
      <c r="F125" s="64"/>
      <c r="G125" s="64"/>
      <c r="H125" s="90"/>
    </row>
    <row r="126" spans="1:8" hidden="1" x14ac:dyDescent="0.2">
      <c r="A126" s="10">
        <f t="shared" si="15"/>
        <v>2015</v>
      </c>
      <c r="B126" t="s">
        <v>11</v>
      </c>
      <c r="C126" s="55" t="e">
        <f>#REF!</f>
        <v>#REF!</v>
      </c>
      <c r="D126" s="92" t="e">
        <f t="shared" si="14"/>
        <v>#REF!</v>
      </c>
      <c r="E126" s="92"/>
      <c r="F126" s="92"/>
      <c r="G126" s="92"/>
      <c r="H126" s="55"/>
    </row>
    <row r="127" spans="1:8" hidden="1" x14ac:dyDescent="0.2">
      <c r="A127" s="10">
        <f t="shared" si="15"/>
        <v>2015</v>
      </c>
      <c r="B127" t="s">
        <v>12</v>
      </c>
      <c r="C127" s="55" t="e">
        <f>#REF!</f>
        <v>#REF!</v>
      </c>
      <c r="D127" s="92" t="e">
        <f t="shared" si="14"/>
        <v>#REF!</v>
      </c>
      <c r="E127" s="92"/>
      <c r="F127" s="92"/>
      <c r="G127" s="92"/>
      <c r="H127" s="55"/>
    </row>
    <row r="128" spans="1:8" hidden="1" x14ac:dyDescent="0.2">
      <c r="A128" s="12">
        <f t="shared" si="15"/>
        <v>2015</v>
      </c>
      <c r="B128" s="13" t="s">
        <v>13</v>
      </c>
      <c r="C128" s="90" t="e">
        <f>#REF!</f>
        <v>#REF!</v>
      </c>
      <c r="D128" s="64" t="e">
        <f t="shared" si="14"/>
        <v>#REF!</v>
      </c>
      <c r="E128" s="64" t="e">
        <f>(SUM(C126:C128)-SUM(C123:C125))/SUM(C123:C125)</f>
        <v>#REF!</v>
      </c>
      <c r="F128" s="64" t="e">
        <f>(SUM(C123:C128)-SUM(C117:C122))/SUM(C117:C122)</f>
        <v>#REF!</v>
      </c>
      <c r="G128" s="64"/>
      <c r="H128" s="90"/>
    </row>
    <row r="129" spans="1:8" hidden="1" x14ac:dyDescent="0.2">
      <c r="A129" s="17">
        <f t="shared" si="15"/>
        <v>2015</v>
      </c>
      <c r="B129" s="22" t="s">
        <v>30</v>
      </c>
      <c r="C129" s="24" t="e">
        <f>#REF!</f>
        <v>#REF!</v>
      </c>
      <c r="D129" s="95" t="e">
        <f t="shared" si="14"/>
        <v>#REF!</v>
      </c>
      <c r="E129" s="95"/>
      <c r="F129" s="95"/>
      <c r="G129" s="95"/>
      <c r="H129" s="24"/>
    </row>
    <row r="130" spans="1:8" hidden="1" x14ac:dyDescent="0.2">
      <c r="A130" s="10">
        <f t="shared" si="15"/>
        <v>2015</v>
      </c>
      <c r="B130" t="s">
        <v>14</v>
      </c>
      <c r="C130" s="55" t="e">
        <f>#REF!</f>
        <v>#REF!</v>
      </c>
      <c r="D130" s="92" t="e">
        <f t="shared" si="14"/>
        <v>#REF!</v>
      </c>
      <c r="E130" s="92"/>
      <c r="F130" s="92"/>
      <c r="G130" s="92"/>
      <c r="H130" s="55"/>
    </row>
    <row r="131" spans="1:8" hidden="1" x14ac:dyDescent="0.2">
      <c r="A131" s="12">
        <f t="shared" si="15"/>
        <v>2015</v>
      </c>
      <c r="B131" s="13" t="s">
        <v>15</v>
      </c>
      <c r="C131" s="90" t="e">
        <f>#REF!</f>
        <v>#REF!</v>
      </c>
      <c r="D131" s="64" t="e">
        <f t="shared" si="14"/>
        <v>#REF!</v>
      </c>
      <c r="E131" s="64" t="e">
        <f>(SUM(C129:C131)-SUM(C126:C128))/SUM(C126:C128)</f>
        <v>#REF!</v>
      </c>
      <c r="F131" s="64"/>
      <c r="G131" s="64"/>
      <c r="H131" s="90"/>
    </row>
    <row r="132" spans="1:8" hidden="1" x14ac:dyDescent="0.2">
      <c r="A132" s="10">
        <f t="shared" si="15"/>
        <v>2015</v>
      </c>
      <c r="B132" t="s">
        <v>16</v>
      </c>
      <c r="C132" s="55" t="e">
        <f>#REF!</f>
        <v>#REF!</v>
      </c>
      <c r="D132" s="92" t="e">
        <f t="shared" si="14"/>
        <v>#REF!</v>
      </c>
      <c r="E132" s="92"/>
      <c r="F132" s="92"/>
      <c r="G132" s="92"/>
      <c r="H132" s="55"/>
    </row>
    <row r="133" spans="1:8" hidden="1" x14ac:dyDescent="0.2">
      <c r="A133" s="10">
        <f t="shared" si="15"/>
        <v>2015</v>
      </c>
      <c r="B133" t="s">
        <v>17</v>
      </c>
      <c r="C133" s="55" t="e">
        <f>#REF!</f>
        <v>#REF!</v>
      </c>
      <c r="D133" s="92" t="e">
        <f t="shared" si="14"/>
        <v>#REF!</v>
      </c>
      <c r="E133" s="92"/>
      <c r="F133" s="92"/>
      <c r="G133" s="92"/>
      <c r="H133" s="55"/>
    </row>
    <row r="134" spans="1:8" ht="13.5" hidden="1" thickBot="1" x14ac:dyDescent="0.25">
      <c r="A134" s="29">
        <f t="shared" si="15"/>
        <v>2015</v>
      </c>
      <c r="B134" s="30" t="s">
        <v>18</v>
      </c>
      <c r="C134" s="87" t="e">
        <f>#REF!</f>
        <v>#REF!</v>
      </c>
      <c r="D134" s="89" t="e">
        <f t="shared" si="14"/>
        <v>#REF!</v>
      </c>
      <c r="E134" s="89" t="e">
        <f>(SUM(C132:C134)-SUM(C129:C131))/SUM(C129:C131)</f>
        <v>#REF!</v>
      </c>
      <c r="F134" s="89" t="e">
        <f>(SUM(C129:C134)-SUM(C123:C128))/SUM(C123:C128)</f>
        <v>#REF!</v>
      </c>
      <c r="G134" s="89" t="e">
        <f>(SUM(C123:C134)-SUM(C111:C122))/SUM(C111:C122)</f>
        <v>#REF!</v>
      </c>
      <c r="H134" s="87" t="e">
        <f>(C123+C124+C125+C126+C127+C128+C129+C130+C131+C132+C133+C134)/12</f>
        <v>#REF!</v>
      </c>
    </row>
    <row r="135" spans="1:8" hidden="1" x14ac:dyDescent="0.2">
      <c r="A135" s="2">
        <v>2016</v>
      </c>
      <c r="B135" t="s">
        <v>8</v>
      </c>
      <c r="C135" s="91" t="e">
        <f>#REF!</f>
        <v>#REF!</v>
      </c>
      <c r="D135" s="97" t="e">
        <f t="shared" ref="D135:D146" si="16">(C135-C134)/C134</f>
        <v>#REF!</v>
      </c>
      <c r="E135" s="97"/>
      <c r="F135" s="97"/>
      <c r="G135" s="97"/>
      <c r="H135" s="91"/>
    </row>
    <row r="136" spans="1:8" hidden="1" x14ac:dyDescent="0.2">
      <c r="A136" s="10">
        <f>A135</f>
        <v>2016</v>
      </c>
      <c r="B136" t="s">
        <v>9</v>
      </c>
      <c r="C136" s="55" t="e">
        <f>#REF!</f>
        <v>#REF!</v>
      </c>
      <c r="D136" s="92" t="e">
        <f t="shared" si="16"/>
        <v>#REF!</v>
      </c>
      <c r="E136" s="92"/>
      <c r="F136" s="92"/>
      <c r="G136" s="92"/>
      <c r="H136" s="55"/>
    </row>
    <row r="137" spans="1:8" hidden="1" x14ac:dyDescent="0.2">
      <c r="A137" s="12">
        <f t="shared" ref="A137:A146" si="17">A136</f>
        <v>2016</v>
      </c>
      <c r="B137" s="13" t="s">
        <v>10</v>
      </c>
      <c r="C137" s="90" t="e">
        <f>#REF!</f>
        <v>#REF!</v>
      </c>
      <c r="D137" s="64" t="e">
        <f t="shared" si="16"/>
        <v>#REF!</v>
      </c>
      <c r="E137" s="64" t="e">
        <f>(SUM(C135:C137)-SUM(C132:C134))/SUM(C132:C134)</f>
        <v>#REF!</v>
      </c>
      <c r="F137" s="64"/>
      <c r="G137" s="64"/>
      <c r="H137" s="90"/>
    </row>
    <row r="138" spans="1:8" hidden="1" x14ac:dyDescent="0.2">
      <c r="A138" s="10">
        <f t="shared" si="17"/>
        <v>2016</v>
      </c>
      <c r="B138" t="s">
        <v>11</v>
      </c>
      <c r="C138" s="55" t="e">
        <f>#REF!</f>
        <v>#REF!</v>
      </c>
      <c r="D138" s="92" t="e">
        <f t="shared" si="16"/>
        <v>#REF!</v>
      </c>
      <c r="E138" s="92"/>
      <c r="F138" s="92"/>
      <c r="G138" s="92"/>
      <c r="H138" s="55"/>
    </row>
    <row r="139" spans="1:8" hidden="1" x14ac:dyDescent="0.2">
      <c r="A139" s="10">
        <f t="shared" si="17"/>
        <v>2016</v>
      </c>
      <c r="B139" t="s">
        <v>12</v>
      </c>
      <c r="C139" s="55" t="e">
        <f>#REF!</f>
        <v>#REF!</v>
      </c>
      <c r="D139" s="92" t="e">
        <f t="shared" si="16"/>
        <v>#REF!</v>
      </c>
      <c r="E139" s="92"/>
      <c r="F139" s="92"/>
      <c r="G139" s="92"/>
      <c r="H139" s="55"/>
    </row>
    <row r="140" spans="1:8" hidden="1" x14ac:dyDescent="0.2">
      <c r="A140" s="12">
        <f t="shared" si="17"/>
        <v>2016</v>
      </c>
      <c r="B140" s="13" t="s">
        <v>13</v>
      </c>
      <c r="C140" s="90" t="e">
        <f>#REF!</f>
        <v>#REF!</v>
      </c>
      <c r="D140" s="64" t="e">
        <f t="shared" si="16"/>
        <v>#REF!</v>
      </c>
      <c r="E140" s="64" t="e">
        <f>(SUM(C138:C140)-SUM(C135:C137))/SUM(C135:C137)</f>
        <v>#REF!</v>
      </c>
      <c r="F140" s="64" t="e">
        <f>(SUM(C135:C140)-SUM(C129:C134))/SUM(C129:C134)</f>
        <v>#REF!</v>
      </c>
      <c r="G140" s="64"/>
      <c r="H140" s="90"/>
    </row>
    <row r="141" spans="1:8" hidden="1" x14ac:dyDescent="0.2">
      <c r="A141" s="17">
        <f t="shared" si="17"/>
        <v>2016</v>
      </c>
      <c r="B141" s="22" t="s">
        <v>30</v>
      </c>
      <c r="C141" s="24" t="e">
        <f>#REF!</f>
        <v>#REF!</v>
      </c>
      <c r="D141" s="95" t="e">
        <f t="shared" si="16"/>
        <v>#REF!</v>
      </c>
      <c r="E141" s="95"/>
      <c r="F141" s="95"/>
      <c r="G141" s="95"/>
      <c r="H141" s="24"/>
    </row>
    <row r="142" spans="1:8" hidden="1" x14ac:dyDescent="0.2">
      <c r="A142" s="10">
        <f t="shared" si="17"/>
        <v>2016</v>
      </c>
      <c r="B142" t="s">
        <v>14</v>
      </c>
      <c r="C142" s="55" t="e">
        <f>#REF!</f>
        <v>#REF!</v>
      </c>
      <c r="D142" s="92" t="e">
        <f t="shared" si="16"/>
        <v>#REF!</v>
      </c>
      <c r="E142" s="92"/>
      <c r="F142" s="92"/>
      <c r="G142" s="92"/>
      <c r="H142" s="55"/>
    </row>
    <row r="143" spans="1:8" hidden="1" x14ac:dyDescent="0.2">
      <c r="A143" s="12">
        <f t="shared" si="17"/>
        <v>2016</v>
      </c>
      <c r="B143" s="13" t="s">
        <v>15</v>
      </c>
      <c r="C143" s="90" t="e">
        <f>#REF!</f>
        <v>#REF!</v>
      </c>
      <c r="D143" s="64" t="e">
        <f t="shared" si="16"/>
        <v>#REF!</v>
      </c>
      <c r="E143" s="64" t="e">
        <f>(SUM(C141:C143)-SUM(C138:C140))/SUM(C138:C140)</f>
        <v>#REF!</v>
      </c>
      <c r="F143" s="64"/>
      <c r="G143" s="64"/>
      <c r="H143" s="90"/>
    </row>
    <row r="144" spans="1:8" hidden="1" x14ac:dyDescent="0.2">
      <c r="A144" s="10">
        <f t="shared" si="17"/>
        <v>2016</v>
      </c>
      <c r="B144" t="s">
        <v>16</v>
      </c>
      <c r="C144" s="55" t="e">
        <f>#REF!</f>
        <v>#REF!</v>
      </c>
      <c r="D144" s="92" t="e">
        <f t="shared" si="16"/>
        <v>#REF!</v>
      </c>
      <c r="E144" s="92"/>
      <c r="F144" s="92"/>
      <c r="G144" s="92"/>
      <c r="H144" s="55"/>
    </row>
    <row r="145" spans="1:8" hidden="1" x14ac:dyDescent="0.2">
      <c r="A145" s="10">
        <f t="shared" si="17"/>
        <v>2016</v>
      </c>
      <c r="B145" t="s">
        <v>17</v>
      </c>
      <c r="C145" s="55" t="e">
        <f>#REF!</f>
        <v>#REF!</v>
      </c>
      <c r="D145" s="92" t="e">
        <f t="shared" si="16"/>
        <v>#REF!</v>
      </c>
      <c r="E145" s="92"/>
      <c r="F145" s="92"/>
      <c r="G145" s="92"/>
      <c r="H145" s="55"/>
    </row>
    <row r="146" spans="1:8" ht="13.5" hidden="1" thickBot="1" x14ac:dyDescent="0.25">
      <c r="A146" s="29">
        <f t="shared" si="17"/>
        <v>2016</v>
      </c>
      <c r="B146" s="30" t="s">
        <v>18</v>
      </c>
      <c r="C146" s="87" t="e">
        <f>#REF!</f>
        <v>#REF!</v>
      </c>
      <c r="D146" s="89" t="e">
        <f t="shared" si="16"/>
        <v>#REF!</v>
      </c>
      <c r="E146" s="89" t="e">
        <f>(SUM(C144:C146)-SUM(C141:C143))/SUM(C141:C143)</f>
        <v>#REF!</v>
      </c>
      <c r="F146" s="89" t="e">
        <f>(SUM(C141:C146)-SUM(C135:C140))/SUM(C135:C140)</f>
        <v>#REF!</v>
      </c>
      <c r="G146" s="89" t="e">
        <f>(SUM(C135:C146)-SUM(C123:C134))/SUM(C123:C134)</f>
        <v>#REF!</v>
      </c>
      <c r="H146" s="87" t="e">
        <f>(C135+C136+C137+C138+C139+C140+C141+C142+C143+C144+C145+C146)/12</f>
        <v>#REF!</v>
      </c>
    </row>
    <row r="147" spans="1:8" hidden="1" x14ac:dyDescent="0.2">
      <c r="A147" s="2">
        <v>2017</v>
      </c>
      <c r="B147" t="s">
        <v>8</v>
      </c>
      <c r="C147" s="91" t="e">
        <f>#REF!</f>
        <v>#REF!</v>
      </c>
      <c r="D147" s="97" t="e">
        <f t="shared" ref="D147:D158" si="18">(C147-C146)/C146</f>
        <v>#REF!</v>
      </c>
      <c r="E147" s="97"/>
      <c r="F147" s="97"/>
      <c r="G147" s="97"/>
      <c r="H147" s="91"/>
    </row>
    <row r="148" spans="1:8" hidden="1" x14ac:dyDescent="0.2">
      <c r="A148" s="10">
        <f>A147</f>
        <v>2017</v>
      </c>
      <c r="B148" t="s">
        <v>9</v>
      </c>
      <c r="C148" s="55" t="e">
        <f>#REF!</f>
        <v>#REF!</v>
      </c>
      <c r="D148" s="92" t="e">
        <f t="shared" si="18"/>
        <v>#REF!</v>
      </c>
      <c r="E148" s="92"/>
      <c r="F148" s="92"/>
      <c r="G148" s="92"/>
      <c r="H148" s="55"/>
    </row>
    <row r="149" spans="1:8" hidden="1" x14ac:dyDescent="0.2">
      <c r="A149" s="12">
        <f t="shared" ref="A149:A158" si="19">A148</f>
        <v>2017</v>
      </c>
      <c r="B149" s="13" t="s">
        <v>10</v>
      </c>
      <c r="C149" s="90" t="e">
        <f>#REF!</f>
        <v>#REF!</v>
      </c>
      <c r="D149" s="64" t="e">
        <f t="shared" si="18"/>
        <v>#REF!</v>
      </c>
      <c r="E149" s="64" t="e">
        <f>(SUM(C147:C149)-SUM(C144:C146))/SUM(C144:C146)</f>
        <v>#REF!</v>
      </c>
      <c r="F149" s="64"/>
      <c r="G149" s="64"/>
      <c r="H149" s="90"/>
    </row>
    <row r="150" spans="1:8" hidden="1" x14ac:dyDescent="0.2">
      <c r="A150" s="10">
        <f t="shared" si="19"/>
        <v>2017</v>
      </c>
      <c r="B150" t="s">
        <v>11</v>
      </c>
      <c r="C150" s="55" t="e">
        <f>#REF!</f>
        <v>#REF!</v>
      </c>
      <c r="D150" s="92" t="e">
        <f t="shared" si="18"/>
        <v>#REF!</v>
      </c>
      <c r="E150" s="92"/>
      <c r="F150" s="92"/>
      <c r="G150" s="92"/>
      <c r="H150" s="55"/>
    </row>
    <row r="151" spans="1:8" hidden="1" x14ac:dyDescent="0.2">
      <c r="A151" s="10">
        <f t="shared" si="19"/>
        <v>2017</v>
      </c>
      <c r="B151" t="s">
        <v>12</v>
      </c>
      <c r="C151" s="55" t="e">
        <f>#REF!</f>
        <v>#REF!</v>
      </c>
      <c r="D151" s="92" t="e">
        <f t="shared" si="18"/>
        <v>#REF!</v>
      </c>
      <c r="E151" s="92"/>
      <c r="F151" s="92"/>
      <c r="G151" s="92"/>
      <c r="H151" s="55"/>
    </row>
    <row r="152" spans="1:8" hidden="1" x14ac:dyDescent="0.2">
      <c r="A152" s="12">
        <f t="shared" si="19"/>
        <v>2017</v>
      </c>
      <c r="B152" s="13" t="s">
        <v>13</v>
      </c>
      <c r="C152" s="90" t="e">
        <f>#REF!</f>
        <v>#REF!</v>
      </c>
      <c r="D152" s="64" t="e">
        <f t="shared" si="18"/>
        <v>#REF!</v>
      </c>
      <c r="E152" s="64" t="e">
        <f>(SUM(C150:C152)-SUM(C147:C149))/SUM(C147:C149)</f>
        <v>#REF!</v>
      </c>
      <c r="F152" s="64" t="e">
        <f>(SUM(C147:C152)-SUM(C141:C146))/SUM(C141:C146)</f>
        <v>#REF!</v>
      </c>
      <c r="G152" s="64"/>
      <c r="H152" s="90"/>
    </row>
    <row r="153" spans="1:8" hidden="1" x14ac:dyDescent="0.2">
      <c r="A153" s="17">
        <f t="shared" si="19"/>
        <v>2017</v>
      </c>
      <c r="B153" s="22" t="s">
        <v>30</v>
      </c>
      <c r="C153" s="24" t="e">
        <f>#REF!</f>
        <v>#REF!</v>
      </c>
      <c r="D153" s="95" t="e">
        <f t="shared" si="18"/>
        <v>#REF!</v>
      </c>
      <c r="E153" s="95"/>
      <c r="F153" s="95"/>
      <c r="G153" s="95"/>
      <c r="H153" s="24"/>
    </row>
    <row r="154" spans="1:8" hidden="1" x14ac:dyDescent="0.2">
      <c r="A154" s="10">
        <f t="shared" si="19"/>
        <v>2017</v>
      </c>
      <c r="B154" t="s">
        <v>14</v>
      </c>
      <c r="C154" s="55" t="e">
        <f>#REF!</f>
        <v>#REF!</v>
      </c>
      <c r="D154" s="92" t="e">
        <f t="shared" si="18"/>
        <v>#REF!</v>
      </c>
      <c r="E154" s="92"/>
      <c r="F154" s="92"/>
      <c r="G154" s="92"/>
      <c r="H154" s="55"/>
    </row>
    <row r="155" spans="1:8" hidden="1" x14ac:dyDescent="0.2">
      <c r="A155" s="12">
        <f t="shared" si="19"/>
        <v>2017</v>
      </c>
      <c r="B155" s="13" t="s">
        <v>15</v>
      </c>
      <c r="C155" s="90" t="e">
        <f>#REF!</f>
        <v>#REF!</v>
      </c>
      <c r="D155" s="64" t="e">
        <f t="shared" si="18"/>
        <v>#REF!</v>
      </c>
      <c r="E155" s="64" t="e">
        <f>(SUM(C153:C155)-SUM(C150:C152))/SUM(C150:C152)</f>
        <v>#REF!</v>
      </c>
      <c r="F155" s="64"/>
      <c r="G155" s="64"/>
      <c r="H155" s="90"/>
    </row>
    <row r="156" spans="1:8" hidden="1" x14ac:dyDescent="0.2">
      <c r="A156" s="10">
        <f t="shared" si="19"/>
        <v>2017</v>
      </c>
      <c r="B156" t="s">
        <v>16</v>
      </c>
      <c r="C156" s="55" t="e">
        <f>#REF!</f>
        <v>#REF!</v>
      </c>
      <c r="D156" s="92" t="e">
        <f t="shared" si="18"/>
        <v>#REF!</v>
      </c>
      <c r="E156" s="92"/>
      <c r="F156" s="92"/>
      <c r="G156" s="92"/>
      <c r="H156" s="55"/>
    </row>
    <row r="157" spans="1:8" hidden="1" x14ac:dyDescent="0.2">
      <c r="A157" s="10">
        <f t="shared" si="19"/>
        <v>2017</v>
      </c>
      <c r="B157" t="s">
        <v>17</v>
      </c>
      <c r="C157" s="55" t="e">
        <f>#REF!</f>
        <v>#REF!</v>
      </c>
      <c r="D157" s="92" t="e">
        <f t="shared" si="18"/>
        <v>#REF!</v>
      </c>
      <c r="E157" s="92"/>
      <c r="F157" s="92"/>
      <c r="G157" s="92"/>
      <c r="H157" s="55"/>
    </row>
    <row r="158" spans="1:8" ht="13.5" hidden="1" thickBot="1" x14ac:dyDescent="0.25">
      <c r="A158" s="29">
        <f t="shared" si="19"/>
        <v>2017</v>
      </c>
      <c r="B158" s="30" t="s">
        <v>18</v>
      </c>
      <c r="C158" s="87" t="e">
        <f>#REF!</f>
        <v>#REF!</v>
      </c>
      <c r="D158" s="89" t="e">
        <f t="shared" si="18"/>
        <v>#REF!</v>
      </c>
      <c r="E158" s="89" t="e">
        <f>(SUM(C156:C158)-SUM(C153:C155))/SUM(C153:C155)</f>
        <v>#REF!</v>
      </c>
      <c r="F158" s="89" t="e">
        <f>(SUM(C153:C158)-SUM(C147:C152))/SUM(C147:C152)</f>
        <v>#REF!</v>
      </c>
      <c r="G158" s="89" t="e">
        <f>(SUM(C147:C158)-SUM(C135:C146))/SUM(C135:C146)</f>
        <v>#REF!</v>
      </c>
      <c r="H158" s="87" t="e">
        <f>(C147+C148+C149+C150+C151+C152+C153+C154+C155+C156+C157+C158)/12</f>
        <v>#REF!</v>
      </c>
    </row>
    <row r="159" spans="1:8" hidden="1" x14ac:dyDescent="0.2">
      <c r="A159" s="2">
        <v>2018</v>
      </c>
      <c r="B159" t="s">
        <v>8</v>
      </c>
      <c r="C159" s="91" t="e">
        <f>#REF!</f>
        <v>#REF!</v>
      </c>
      <c r="D159" s="97" t="e">
        <f>(C159-C159)/C158</f>
        <v>#REF!</v>
      </c>
      <c r="E159" s="97"/>
      <c r="F159" s="97"/>
      <c r="G159" s="97"/>
      <c r="H159" s="91"/>
    </row>
    <row r="160" spans="1:8" hidden="1" x14ac:dyDescent="0.2">
      <c r="A160" s="10">
        <f>A159</f>
        <v>2018</v>
      </c>
      <c r="B160" t="s">
        <v>9</v>
      </c>
      <c r="C160" s="55" t="e">
        <f>#REF!</f>
        <v>#REF!</v>
      </c>
      <c r="D160" s="92" t="e">
        <f t="shared" ref="D160:D170" si="20">(C160-C159)/C159</f>
        <v>#REF!</v>
      </c>
      <c r="E160" s="92"/>
      <c r="F160" s="92"/>
      <c r="G160" s="92"/>
      <c r="H160" s="55"/>
    </row>
    <row r="161" spans="1:8" hidden="1" x14ac:dyDescent="0.2">
      <c r="A161" s="12">
        <f t="shared" ref="A161:A170" si="21">A160</f>
        <v>2018</v>
      </c>
      <c r="B161" s="13" t="s">
        <v>10</v>
      </c>
      <c r="C161" s="90" t="e">
        <f>#REF!</f>
        <v>#REF!</v>
      </c>
      <c r="D161" s="64" t="e">
        <f t="shared" si="20"/>
        <v>#REF!</v>
      </c>
      <c r="E161" s="64" t="e">
        <f>(SUM(C159:C161)-SUM(C159:C161))/SUM(C156:C158)</f>
        <v>#REF!</v>
      </c>
      <c r="F161" s="64"/>
      <c r="G161" s="64"/>
      <c r="H161" s="90"/>
    </row>
    <row r="162" spans="1:8" hidden="1" x14ac:dyDescent="0.2">
      <c r="A162" s="10">
        <f t="shared" si="21"/>
        <v>2018</v>
      </c>
      <c r="B162" t="s">
        <v>11</v>
      </c>
      <c r="C162" s="55" t="e">
        <f>#REF!</f>
        <v>#REF!</v>
      </c>
      <c r="D162" s="92" t="e">
        <f t="shared" si="20"/>
        <v>#REF!</v>
      </c>
      <c r="E162" s="92"/>
      <c r="F162" s="92"/>
      <c r="G162" s="92"/>
      <c r="H162" s="55"/>
    </row>
    <row r="163" spans="1:8" hidden="1" x14ac:dyDescent="0.2">
      <c r="A163" s="10">
        <f t="shared" si="21"/>
        <v>2018</v>
      </c>
      <c r="B163" t="s">
        <v>12</v>
      </c>
      <c r="C163" s="55" t="e">
        <f>#REF!</f>
        <v>#REF!</v>
      </c>
      <c r="D163" s="92" t="e">
        <f t="shared" si="20"/>
        <v>#REF!</v>
      </c>
      <c r="E163" s="92"/>
      <c r="F163" s="92"/>
      <c r="G163" s="92"/>
      <c r="H163" s="55"/>
    </row>
    <row r="164" spans="1:8" hidden="1" x14ac:dyDescent="0.2">
      <c r="A164" s="12">
        <f t="shared" si="21"/>
        <v>2018</v>
      </c>
      <c r="B164" s="13" t="s">
        <v>13</v>
      </c>
      <c r="C164" s="90" t="e">
        <f>#REF!</f>
        <v>#REF!</v>
      </c>
      <c r="D164" s="64" t="e">
        <f t="shared" si="20"/>
        <v>#REF!</v>
      </c>
      <c r="E164" s="64" t="e">
        <f>(SUM(C162:C164)-SUM(C159:C161))/SUM(C159:C161)</f>
        <v>#REF!</v>
      </c>
      <c r="F164" s="64" t="e">
        <f>(SUM(C159:C164)-SUM(C159:C164))/SUM(C153:C158)</f>
        <v>#REF!</v>
      </c>
      <c r="G164" s="64"/>
      <c r="H164" s="90"/>
    </row>
    <row r="165" spans="1:8" hidden="1" x14ac:dyDescent="0.2">
      <c r="A165" s="17">
        <f t="shared" si="21"/>
        <v>2018</v>
      </c>
      <c r="B165" s="166" t="s">
        <v>30</v>
      </c>
      <c r="C165" s="167" t="e">
        <f>#REF!</f>
        <v>#REF!</v>
      </c>
      <c r="D165" s="168" t="e">
        <f t="shared" si="20"/>
        <v>#REF!</v>
      </c>
      <c r="E165" s="168"/>
      <c r="F165" s="168"/>
      <c r="G165" s="168"/>
      <c r="H165" s="169"/>
    </row>
    <row r="166" spans="1:8" hidden="1" x14ac:dyDescent="0.2">
      <c r="A166" s="10">
        <f t="shared" si="21"/>
        <v>2018</v>
      </c>
      <c r="B166" t="s">
        <v>14</v>
      </c>
      <c r="C166" s="55" t="e">
        <f>#REF!</f>
        <v>#REF!</v>
      </c>
      <c r="D166" s="92" t="e">
        <f t="shared" si="20"/>
        <v>#REF!</v>
      </c>
      <c r="E166" s="92"/>
      <c r="F166" s="92"/>
      <c r="G166" s="92"/>
      <c r="H166" s="55"/>
    </row>
    <row r="167" spans="1:8" hidden="1" x14ac:dyDescent="0.2">
      <c r="A167" s="12">
        <f t="shared" si="21"/>
        <v>2018</v>
      </c>
      <c r="B167" s="13" t="s">
        <v>15</v>
      </c>
      <c r="C167" s="90" t="e">
        <f>#REF!</f>
        <v>#REF!</v>
      </c>
      <c r="D167" s="64" t="e">
        <f t="shared" si="20"/>
        <v>#REF!</v>
      </c>
      <c r="E167" s="64" t="e">
        <f>(SUM(C165:C167)-SUM(C162:C164))/SUM(C162:C164)</f>
        <v>#REF!</v>
      </c>
      <c r="F167" s="64"/>
      <c r="G167" s="64"/>
      <c r="H167" s="90"/>
    </row>
    <row r="168" spans="1:8" hidden="1" x14ac:dyDescent="0.2">
      <c r="A168" s="10">
        <f t="shared" si="21"/>
        <v>2018</v>
      </c>
      <c r="B168" t="s">
        <v>16</v>
      </c>
      <c r="C168" s="55" t="e">
        <f>#REF!</f>
        <v>#REF!</v>
      </c>
      <c r="D168" s="92" t="e">
        <f t="shared" si="20"/>
        <v>#REF!</v>
      </c>
      <c r="E168" s="92"/>
      <c r="F168" s="92"/>
      <c r="G168" s="92"/>
      <c r="H168" s="55"/>
    </row>
    <row r="169" spans="1:8" hidden="1" x14ac:dyDescent="0.2">
      <c r="A169" s="10">
        <f t="shared" si="21"/>
        <v>2018</v>
      </c>
      <c r="B169" t="s">
        <v>17</v>
      </c>
      <c r="C169" s="55" t="e">
        <f>#REF!</f>
        <v>#REF!</v>
      </c>
      <c r="D169" s="92" t="e">
        <f t="shared" si="20"/>
        <v>#REF!</v>
      </c>
      <c r="E169" s="92"/>
      <c r="F169" s="92"/>
      <c r="G169" s="92"/>
      <c r="H169" s="55"/>
    </row>
    <row r="170" spans="1:8" ht="13.5" hidden="1" thickBot="1" x14ac:dyDescent="0.25">
      <c r="A170" s="29">
        <f t="shared" si="21"/>
        <v>2018</v>
      </c>
      <c r="B170" s="30" t="s">
        <v>18</v>
      </c>
      <c r="C170" s="90" t="e">
        <f>#REF!</f>
        <v>#REF!</v>
      </c>
      <c r="D170" s="64" t="e">
        <f t="shared" si="20"/>
        <v>#REF!</v>
      </c>
      <c r="E170" s="64" t="e">
        <f>(SUM(C168:C170)-SUM(C165:C167))/SUM(C165:C167)</f>
        <v>#REF!</v>
      </c>
      <c r="F170" s="64" t="e">
        <f>(SUM(C165:C170)-SUM(C159:C164))/SUM(C159:C164)</f>
        <v>#REF!</v>
      </c>
      <c r="G170" s="64" t="e">
        <f>(SUM(C159:C170)-SUM(C159:C170))/SUM(C147:C158)</f>
        <v>#REF!</v>
      </c>
      <c r="H170" s="90" t="e">
        <f>(C159+C160+C161+C162+C163+C164+C165+C166+C167+C168+C169+C170)/12</f>
        <v>#REF!</v>
      </c>
    </row>
    <row r="171" spans="1:8" hidden="1" x14ac:dyDescent="0.2">
      <c r="A171" s="2">
        <v>2019</v>
      </c>
      <c r="B171" t="s">
        <v>8</v>
      </c>
      <c r="C171" s="91" t="e">
        <f>#REF!</f>
        <v>#REF!</v>
      </c>
      <c r="D171" s="97" t="e">
        <f t="shared" ref="D171:D182" si="22">(C171-C170)/C170</f>
        <v>#REF!</v>
      </c>
      <c r="E171" s="97"/>
      <c r="F171" s="97"/>
      <c r="G171" s="97"/>
      <c r="H171" s="91"/>
    </row>
    <row r="172" spans="1:8" hidden="1" x14ac:dyDescent="0.2">
      <c r="A172" s="10">
        <f>A171</f>
        <v>2019</v>
      </c>
      <c r="B172" t="s">
        <v>9</v>
      </c>
      <c r="C172" s="55" t="e">
        <f>#REF!</f>
        <v>#REF!</v>
      </c>
      <c r="D172" s="92" t="e">
        <f t="shared" si="22"/>
        <v>#REF!</v>
      </c>
      <c r="E172" s="92"/>
      <c r="F172" s="92"/>
      <c r="G172" s="92"/>
      <c r="H172" s="55"/>
    </row>
    <row r="173" spans="1:8" hidden="1" x14ac:dyDescent="0.2">
      <c r="A173" s="12">
        <f t="shared" ref="A173:A182" si="23">A172</f>
        <v>2019</v>
      </c>
      <c r="B173" s="13" t="s">
        <v>10</v>
      </c>
      <c r="C173" s="90" t="e">
        <f>#REF!</f>
        <v>#REF!</v>
      </c>
      <c r="D173" s="64" t="e">
        <f t="shared" si="22"/>
        <v>#REF!</v>
      </c>
      <c r="E173" s="64" t="e">
        <f>(SUM(C171:C173)-SUM(C168:C170))/SUM(C168:C170)</f>
        <v>#REF!</v>
      </c>
      <c r="F173" s="64"/>
      <c r="G173" s="64"/>
      <c r="H173" s="90"/>
    </row>
    <row r="174" spans="1:8" hidden="1" x14ac:dyDescent="0.2">
      <c r="A174" s="10">
        <f t="shared" si="23"/>
        <v>2019</v>
      </c>
      <c r="B174" t="s">
        <v>11</v>
      </c>
      <c r="C174" s="55" t="e">
        <f>#REF!</f>
        <v>#REF!</v>
      </c>
      <c r="D174" s="92" t="e">
        <f t="shared" si="22"/>
        <v>#REF!</v>
      </c>
      <c r="E174" s="92"/>
      <c r="F174" s="92"/>
      <c r="G174" s="92"/>
      <c r="H174" s="55"/>
    </row>
    <row r="175" spans="1:8" hidden="1" x14ac:dyDescent="0.2">
      <c r="A175" s="10">
        <f t="shared" si="23"/>
        <v>2019</v>
      </c>
      <c r="B175" t="s">
        <v>12</v>
      </c>
      <c r="C175" s="55" t="e">
        <f>#REF!</f>
        <v>#REF!</v>
      </c>
      <c r="D175" s="92" t="e">
        <f t="shared" si="22"/>
        <v>#REF!</v>
      </c>
      <c r="E175" s="92"/>
      <c r="F175" s="92"/>
      <c r="G175" s="92"/>
      <c r="H175" s="55"/>
    </row>
    <row r="176" spans="1:8" hidden="1" x14ac:dyDescent="0.2">
      <c r="A176" s="12">
        <f t="shared" si="23"/>
        <v>2019</v>
      </c>
      <c r="B176" s="13" t="s">
        <v>13</v>
      </c>
      <c r="C176" s="90" t="e">
        <f>#REF!</f>
        <v>#REF!</v>
      </c>
      <c r="D176" s="64" t="e">
        <f t="shared" si="22"/>
        <v>#REF!</v>
      </c>
      <c r="E176" s="64" t="e">
        <f>(SUM(C174:C176)-SUM(C171:C173))/SUM(C171:C173)</f>
        <v>#REF!</v>
      </c>
      <c r="F176" s="64" t="e">
        <f>(SUM(C171:C176)-SUM(C165:C170))/SUM(C165:C170)</f>
        <v>#REF!</v>
      </c>
      <c r="G176" s="64"/>
      <c r="H176" s="90"/>
    </row>
    <row r="177" spans="1:8" hidden="1" x14ac:dyDescent="0.2">
      <c r="A177" s="17">
        <f t="shared" si="23"/>
        <v>2019</v>
      </c>
      <c r="B177" s="166" t="s">
        <v>30</v>
      </c>
      <c r="C177" s="167" t="e">
        <f>#REF!</f>
        <v>#REF!</v>
      </c>
      <c r="D177" s="168" t="e">
        <f t="shared" si="22"/>
        <v>#REF!</v>
      </c>
      <c r="E177" s="168"/>
      <c r="F177" s="168"/>
      <c r="G177" s="168"/>
      <c r="H177" s="169"/>
    </row>
    <row r="178" spans="1:8" hidden="1" x14ac:dyDescent="0.2">
      <c r="A178" s="10">
        <f t="shared" si="23"/>
        <v>2019</v>
      </c>
      <c r="B178" t="s">
        <v>14</v>
      </c>
      <c r="C178" s="55" t="e">
        <f>#REF!</f>
        <v>#REF!</v>
      </c>
      <c r="D178" s="92" t="e">
        <f t="shared" si="22"/>
        <v>#REF!</v>
      </c>
      <c r="E178" s="92"/>
      <c r="F178" s="92"/>
      <c r="G178" s="92"/>
      <c r="H178" s="55"/>
    </row>
    <row r="179" spans="1:8" hidden="1" x14ac:dyDescent="0.2">
      <c r="A179" s="12">
        <f t="shared" si="23"/>
        <v>2019</v>
      </c>
      <c r="B179" s="13" t="s">
        <v>15</v>
      </c>
      <c r="C179" s="90" t="e">
        <f>#REF!</f>
        <v>#REF!</v>
      </c>
      <c r="D179" s="64" t="e">
        <f t="shared" si="22"/>
        <v>#REF!</v>
      </c>
      <c r="E179" s="64" t="e">
        <f>(SUM(C177:C179)-SUM(C174:C176))/SUM(C174:C176)</f>
        <v>#REF!</v>
      </c>
      <c r="F179" s="64"/>
      <c r="G179" s="64"/>
      <c r="H179" s="90"/>
    </row>
    <row r="180" spans="1:8" hidden="1" x14ac:dyDescent="0.2">
      <c r="A180" s="10">
        <f t="shared" si="23"/>
        <v>2019</v>
      </c>
      <c r="B180" t="s">
        <v>16</v>
      </c>
      <c r="C180" s="55" t="e">
        <f>#REF!</f>
        <v>#REF!</v>
      </c>
      <c r="D180" s="92" t="e">
        <f t="shared" si="22"/>
        <v>#REF!</v>
      </c>
      <c r="E180" s="92"/>
      <c r="F180" s="92"/>
      <c r="G180" s="92"/>
      <c r="H180" s="55"/>
    </row>
    <row r="181" spans="1:8" hidden="1" x14ac:dyDescent="0.2">
      <c r="A181" s="10">
        <f t="shared" si="23"/>
        <v>2019</v>
      </c>
      <c r="B181" t="s">
        <v>17</v>
      </c>
      <c r="C181" s="55" t="e">
        <f>#REF!</f>
        <v>#REF!</v>
      </c>
      <c r="D181" s="92" t="e">
        <f t="shared" si="22"/>
        <v>#REF!</v>
      </c>
      <c r="E181" s="92"/>
      <c r="F181" s="92"/>
      <c r="G181" s="92"/>
      <c r="H181" s="55"/>
    </row>
    <row r="182" spans="1:8" ht="13.5" hidden="1" thickBot="1" x14ac:dyDescent="0.25">
      <c r="A182" s="29">
        <f t="shared" si="23"/>
        <v>2019</v>
      </c>
      <c r="B182" s="30" t="s">
        <v>18</v>
      </c>
      <c r="C182" s="55" t="e">
        <f>#REF!</f>
        <v>#REF!</v>
      </c>
      <c r="D182" s="64" t="e">
        <f t="shared" si="22"/>
        <v>#REF!</v>
      </c>
      <c r="E182" s="64" t="e">
        <f>(SUM(C180:C182)-SUM(C177:C179))/SUM(C177:C179)</f>
        <v>#REF!</v>
      </c>
      <c r="F182" s="64" t="e">
        <f>(SUM(C177:C182)-SUM(C171:C176))/SUM(C171:C176)</f>
        <v>#REF!</v>
      </c>
      <c r="G182" s="64" t="e">
        <f>(SUM(C171:C182)-SUM(C159:C170))/SUM(C159:C170)</f>
        <v>#REF!</v>
      </c>
      <c r="H182" s="90" t="e">
        <f>(C171+C172+C173+C174+C175+C176+C177+C178+C179+C180+C181+C182)/12</f>
        <v>#REF!</v>
      </c>
    </row>
    <row r="183" spans="1:8" hidden="1" x14ac:dyDescent="0.2">
      <c r="A183" s="2">
        <v>2020</v>
      </c>
      <c r="B183" t="s">
        <v>8</v>
      </c>
      <c r="C183" s="55">
        <f>+'Indeks '!H186</f>
        <v>123.22626336374267</v>
      </c>
      <c r="D183" s="97" t="e">
        <f>(C183-C182)/C182</f>
        <v>#REF!</v>
      </c>
      <c r="E183" s="97"/>
      <c r="F183" s="97"/>
      <c r="G183" s="97"/>
      <c r="H183" s="91"/>
    </row>
    <row r="184" spans="1:8" hidden="1" x14ac:dyDescent="0.2">
      <c r="A184" s="10">
        <f t="shared" ref="A184:A194" si="24">A183</f>
        <v>2020</v>
      </c>
      <c r="B184" t="s">
        <v>9</v>
      </c>
      <c r="C184" s="55">
        <f>+'Indeks '!H187</f>
        <v>123.88099832314721</v>
      </c>
      <c r="D184" s="92">
        <f>(C184-C183)/C183</f>
        <v>5.3132744719514144E-3</v>
      </c>
      <c r="E184" s="92"/>
      <c r="F184" s="92"/>
      <c r="G184" s="92"/>
      <c r="H184" s="55"/>
    </row>
    <row r="185" spans="1:8" hidden="1" x14ac:dyDescent="0.2">
      <c r="A185" s="12">
        <f t="shared" si="24"/>
        <v>2020</v>
      </c>
      <c r="B185" s="13" t="s">
        <v>10</v>
      </c>
      <c r="C185" s="90">
        <f>+'Indeks '!H188</f>
        <v>124.26756066697746</v>
      </c>
      <c r="D185" s="64">
        <f t="shared" ref="D185:D194" si="25">(C185-C184)/C184</f>
        <v>3.1204329078935097E-3</v>
      </c>
      <c r="E185" s="64" t="e">
        <f>(SUM(C183:C185)-SUM(C180:C182))/SUM(C180:C182)</f>
        <v>#REF!</v>
      </c>
      <c r="F185" s="64"/>
      <c r="G185" s="64"/>
      <c r="H185" s="90"/>
    </row>
    <row r="186" spans="1:8" hidden="1" x14ac:dyDescent="0.2">
      <c r="A186" s="10">
        <f t="shared" si="24"/>
        <v>2020</v>
      </c>
      <c r="B186" t="s">
        <v>11</v>
      </c>
      <c r="C186" s="55">
        <f>+'Indeks '!H189</f>
        <v>123.65354437132231</v>
      </c>
      <c r="D186" s="92">
        <f t="shared" si="25"/>
        <v>-4.9410827118481849E-3</v>
      </c>
      <c r="E186" s="92"/>
      <c r="F186" s="92"/>
      <c r="G186" s="92"/>
      <c r="H186" s="55"/>
    </row>
    <row r="187" spans="1:8" hidden="1" x14ac:dyDescent="0.2">
      <c r="A187" s="10">
        <f t="shared" si="24"/>
        <v>2020</v>
      </c>
      <c r="B187" t="s">
        <v>12</v>
      </c>
      <c r="C187" s="55">
        <f>+'Indeks '!H190</f>
        <v>120.64483742345183</v>
      </c>
      <c r="D187" s="92">
        <f t="shared" si="25"/>
        <v>-2.4331748541194728E-2</v>
      </c>
      <c r="E187" s="92"/>
      <c r="F187" s="92"/>
      <c r="G187" s="92"/>
      <c r="H187" s="55"/>
    </row>
    <row r="188" spans="1:8" hidden="1" x14ac:dyDescent="0.2">
      <c r="A188" s="12">
        <f t="shared" si="24"/>
        <v>2020</v>
      </c>
      <c r="B188" s="13" t="s">
        <v>13</v>
      </c>
      <c r="C188" s="90">
        <f>+'Indeks '!H191</f>
        <v>119.64091186425536</v>
      </c>
      <c r="D188" s="64">
        <f t="shared" si="25"/>
        <v>-8.3213304492490807E-3</v>
      </c>
      <c r="E188" s="64">
        <f>(SUM(C186:C188)-SUM(C183:C185))/SUM(C183:C185)</f>
        <v>-2.0021628412259036E-2</v>
      </c>
      <c r="F188" s="64" t="e">
        <f>(SUM(C183:C188)-SUM(C177:C182))/SUM(C177:C182)</f>
        <v>#REF!</v>
      </c>
      <c r="G188" s="64"/>
      <c r="H188" s="90"/>
    </row>
    <row r="189" spans="1:8" hidden="1" x14ac:dyDescent="0.2">
      <c r="A189" s="10">
        <f t="shared" si="24"/>
        <v>2020</v>
      </c>
      <c r="B189" t="s">
        <v>30</v>
      </c>
      <c r="C189" s="55">
        <f>+'Indeks '!H192</f>
        <v>120.94416058953486</v>
      </c>
      <c r="D189" s="92">
        <f t="shared" si="25"/>
        <v>1.0893002276329763E-2</v>
      </c>
      <c r="E189" s="92"/>
      <c r="F189" s="92"/>
      <c r="G189" s="92"/>
      <c r="H189" s="55"/>
    </row>
    <row r="190" spans="1:8" hidden="1" x14ac:dyDescent="0.2">
      <c r="A190" s="10">
        <f t="shared" si="24"/>
        <v>2020</v>
      </c>
      <c r="B190" t="s">
        <v>14</v>
      </c>
      <c r="C190" s="55">
        <f>+'Indeks '!H193</f>
        <v>121.57851436901633</v>
      </c>
      <c r="D190" s="92">
        <f t="shared" si="25"/>
        <v>5.2450137021031341E-3</v>
      </c>
      <c r="E190" s="92"/>
      <c r="F190" s="92"/>
      <c r="G190" s="92"/>
      <c r="H190" s="55"/>
    </row>
    <row r="191" spans="1:8" hidden="1" x14ac:dyDescent="0.2">
      <c r="A191" s="12">
        <f t="shared" si="24"/>
        <v>2020</v>
      </c>
      <c r="B191" s="13" t="s">
        <v>15</v>
      </c>
      <c r="C191" s="90">
        <f>+'Indeks '!H194</f>
        <v>122.29762469090548</v>
      </c>
      <c r="D191" s="64">
        <f t="shared" si="25"/>
        <v>5.9147812886288127E-3</v>
      </c>
      <c r="E191" s="64">
        <f>(SUM(C189:C191)-SUM(C186:C188))/SUM(C186:C188)</f>
        <v>2.420749849705946E-3</v>
      </c>
      <c r="F191" s="64"/>
      <c r="G191" s="64"/>
      <c r="H191" s="90"/>
    </row>
    <row r="192" spans="1:8" hidden="1" x14ac:dyDescent="0.2">
      <c r="A192" s="17">
        <f t="shared" si="24"/>
        <v>2020</v>
      </c>
      <c r="B192" s="18" t="s">
        <v>16</v>
      </c>
      <c r="C192" s="55">
        <f>+'Indeks '!H195</f>
        <v>122.63509049525872</v>
      </c>
      <c r="D192" s="92">
        <f t="shared" si="25"/>
        <v>2.7593815105252713E-3</v>
      </c>
      <c r="E192" s="92"/>
      <c r="F192" s="92"/>
      <c r="G192" s="92"/>
      <c r="H192" s="55"/>
    </row>
    <row r="193" spans="1:21" hidden="1" x14ac:dyDescent="0.2">
      <c r="A193" s="10">
        <f t="shared" si="24"/>
        <v>2020</v>
      </c>
      <c r="B193" t="s">
        <v>17</v>
      </c>
      <c r="C193" s="55">
        <f>+'Indeks '!H196</f>
        <v>123.00474238027735</v>
      </c>
      <c r="D193" s="92">
        <f t="shared" si="25"/>
        <v>3.0142423634686999E-3</v>
      </c>
      <c r="E193" s="92"/>
      <c r="F193" s="92"/>
      <c r="G193" s="92"/>
      <c r="H193" s="55"/>
    </row>
    <row r="194" spans="1:21" ht="13.5" hidden="1" thickBot="1" x14ac:dyDescent="0.25">
      <c r="A194" s="10">
        <f t="shared" si="24"/>
        <v>2020</v>
      </c>
      <c r="B194" t="s">
        <v>18</v>
      </c>
      <c r="C194" s="252">
        <f>+'Indeks '!H197</f>
        <v>122.97560642843021</v>
      </c>
      <c r="D194" s="253">
        <f t="shared" si="25"/>
        <v>-2.3686852460584322E-4</v>
      </c>
      <c r="E194" s="254">
        <f>(SUM(C192:C194)-SUM(C189:C191))/SUM(C189:C191)</f>
        <v>1.0402764479268804E-2</v>
      </c>
      <c r="F194" s="254">
        <f>(SUM(C189:C194)-SUM(C183:C188))/SUM(C183:C188)</f>
        <v>-2.5545233235274379E-3</v>
      </c>
      <c r="G194" s="254" t="e">
        <f>(SUM(C183:C194)-SUM(C171:C182))/SUM(C171:C182)</f>
        <v>#REF!</v>
      </c>
      <c r="H194" s="252">
        <f>(C183+C184+C185+C186+C187+C188+C189+C190+C191+C192+C193+C194)/12</f>
        <v>122.39582124719333</v>
      </c>
    </row>
    <row r="195" spans="1:21" hidden="1" x14ac:dyDescent="0.2">
      <c r="A195" s="2">
        <v>2021</v>
      </c>
      <c r="B195" s="258" t="s">
        <v>8</v>
      </c>
      <c r="C195" s="259">
        <f>+'Indeks '!H198</f>
        <v>126.7647944814517</v>
      </c>
      <c r="D195" s="260">
        <f t="shared" ref="D195:D206" si="26">(C195-C194)/C194</f>
        <v>3.0812517726649603E-2</v>
      </c>
      <c r="E195" s="260"/>
      <c r="F195" s="260"/>
      <c r="G195" s="260"/>
      <c r="H195" s="261"/>
    </row>
    <row r="196" spans="1:21" hidden="1" x14ac:dyDescent="0.2">
      <c r="A196" s="262">
        <f>A195</f>
        <v>2021</v>
      </c>
      <c r="B196" s="263" t="s">
        <v>9</v>
      </c>
      <c r="C196" s="264">
        <f>+'Indeks '!H199</f>
        <v>126.56478261394305</v>
      </c>
      <c r="D196" s="265">
        <f t="shared" si="26"/>
        <v>-1.5778187337172356E-3</v>
      </c>
      <c r="E196" s="265"/>
      <c r="F196" s="265"/>
      <c r="G196" s="265"/>
      <c r="H196" s="264"/>
    </row>
    <row r="197" spans="1:21" hidden="1" x14ac:dyDescent="0.2">
      <c r="A197" s="267">
        <f t="shared" ref="A197:A206" si="27">A196</f>
        <v>2021</v>
      </c>
      <c r="B197" s="268" t="s">
        <v>10</v>
      </c>
      <c r="C197" s="269">
        <f>+'Indeks '!H200</f>
        <v>128.04167358002201</v>
      </c>
      <c r="D197" s="270">
        <f t="shared" si="26"/>
        <v>1.1669051497396974E-2</v>
      </c>
      <c r="E197" s="270">
        <f>(SUM(C195:C197)-SUM(C192:C194))/SUM(C192:C194)</f>
        <v>3.4604658436273167E-2</v>
      </c>
      <c r="F197" s="270"/>
      <c r="G197" s="270"/>
      <c r="H197" s="269"/>
    </row>
    <row r="198" spans="1:21" hidden="1" x14ac:dyDescent="0.2">
      <c r="A198" s="262">
        <f t="shared" si="27"/>
        <v>2021</v>
      </c>
      <c r="B198" s="271" t="s">
        <v>11</v>
      </c>
      <c r="C198" s="264">
        <f>+'Indeks '!H201</f>
        <v>131.87932692011586</v>
      </c>
      <c r="D198" s="265">
        <f t="shared" si="26"/>
        <v>2.997190862001221E-2</v>
      </c>
      <c r="E198" s="265"/>
      <c r="F198" s="265"/>
      <c r="G198" s="265"/>
      <c r="H198" s="264"/>
    </row>
    <row r="199" spans="1:21" hidden="1" x14ac:dyDescent="0.2">
      <c r="A199" s="273">
        <f t="shared" si="27"/>
        <v>2021</v>
      </c>
      <c r="B199" s="274" t="s">
        <v>12</v>
      </c>
      <c r="C199" s="259">
        <f>+'Indeks '!H202</f>
        <v>133.39268628661836</v>
      </c>
      <c r="D199" s="275">
        <f t="shared" si="26"/>
        <v>1.147533432149829E-2</v>
      </c>
      <c r="E199" s="275"/>
      <c r="F199" s="275"/>
      <c r="G199" s="275"/>
      <c r="H199" s="259"/>
    </row>
    <row r="200" spans="1:21" hidden="1" x14ac:dyDescent="0.2">
      <c r="A200" s="276">
        <f t="shared" si="27"/>
        <v>2021</v>
      </c>
      <c r="B200" s="277" t="s">
        <v>13</v>
      </c>
      <c r="C200" s="278">
        <f>+'Indeks '!H203</f>
        <v>135.12054028779397</v>
      </c>
      <c r="D200" s="279">
        <f t="shared" si="26"/>
        <v>1.2953138955932019E-2</v>
      </c>
      <c r="E200" s="279">
        <f>(SUM(C198:C200)-SUM(C195:C197))/SUM(C195:C197)</f>
        <v>4.9876079503696838E-2</v>
      </c>
      <c r="F200" s="279">
        <f>(SUM(C195:C200)-SUM(C189:C194))/SUM(C189:C194)</f>
        <v>6.589270559065441E-2</v>
      </c>
      <c r="G200" s="279"/>
      <c r="H200" s="278"/>
    </row>
    <row r="201" spans="1:21" hidden="1" x14ac:dyDescent="0.2">
      <c r="A201" s="273">
        <f t="shared" si="27"/>
        <v>2021</v>
      </c>
      <c r="B201" s="274" t="s">
        <v>30</v>
      </c>
      <c r="C201" s="259">
        <f>+'Indeks '!H204</f>
        <v>140.98355259148113</v>
      </c>
      <c r="D201" s="275">
        <f t="shared" si="26"/>
        <v>4.33909773539944E-2</v>
      </c>
      <c r="E201" s="275"/>
      <c r="F201" s="275"/>
      <c r="G201" s="275"/>
      <c r="H201" s="259"/>
    </row>
    <row r="202" spans="1:21" hidden="1" x14ac:dyDescent="0.2">
      <c r="A202" s="262">
        <f t="shared" si="27"/>
        <v>2021</v>
      </c>
      <c r="B202" s="271" t="s">
        <v>14</v>
      </c>
      <c r="C202" s="264">
        <f>+'Indeks '!H205</f>
        <v>141.35263233682068</v>
      </c>
      <c r="D202" s="265">
        <f t="shared" si="26"/>
        <v>2.6178922190236327E-3</v>
      </c>
      <c r="E202" s="265"/>
      <c r="F202" s="265"/>
      <c r="G202" s="265"/>
      <c r="H202" s="264"/>
    </row>
    <row r="203" spans="1:21" hidden="1" x14ac:dyDescent="0.2">
      <c r="A203" s="267">
        <f t="shared" si="27"/>
        <v>2021</v>
      </c>
      <c r="B203" s="280" t="s">
        <v>15</v>
      </c>
      <c r="C203" s="269">
        <f>+'Indeks '!H206</f>
        <v>137.25563533438429</v>
      </c>
      <c r="D203" s="270">
        <f t="shared" si="26"/>
        <v>-2.8984228554540775E-2</v>
      </c>
      <c r="E203" s="270">
        <f>(SUM(C201:C203)-SUM(C198:C200))/SUM(C198:C200)</f>
        <v>4.7951108482391695E-2</v>
      </c>
      <c r="F203" s="270"/>
      <c r="G203" s="270"/>
      <c r="H203" s="269"/>
      <c r="U203" s="243"/>
    </row>
    <row r="204" spans="1:21" hidden="1" x14ac:dyDescent="0.2">
      <c r="A204" s="281">
        <f t="shared" si="27"/>
        <v>2021</v>
      </c>
      <c r="B204" s="282" t="s">
        <v>16</v>
      </c>
      <c r="C204" s="264">
        <f>+'Indeks '!H207</f>
        <v>140.63108007786025</v>
      </c>
      <c r="D204" s="265">
        <f t="shared" si="26"/>
        <v>2.4592394587316158E-2</v>
      </c>
      <c r="E204" s="265"/>
      <c r="F204" s="265"/>
      <c r="G204" s="265"/>
      <c r="H204" s="264"/>
    </row>
    <row r="205" spans="1:21" hidden="1" x14ac:dyDescent="0.2">
      <c r="A205" s="273">
        <f t="shared" si="27"/>
        <v>2021</v>
      </c>
      <c r="B205" s="274" t="s">
        <v>17</v>
      </c>
      <c r="C205" s="259">
        <f>+'Indeks '!H208</f>
        <v>144.32524653759845</v>
      </c>
      <c r="D205" s="275">
        <f t="shared" si="26"/>
        <v>2.6268492410731165E-2</v>
      </c>
      <c r="E205" s="275"/>
      <c r="F205" s="275"/>
      <c r="G205" s="275"/>
      <c r="H205" s="259"/>
    </row>
    <row r="206" spans="1:21" ht="13.5" hidden="1" thickBot="1" x14ac:dyDescent="0.25">
      <c r="A206" s="283">
        <f t="shared" si="27"/>
        <v>2021</v>
      </c>
      <c r="B206" s="284" t="s">
        <v>18</v>
      </c>
      <c r="C206" s="285">
        <f>+'Indeks '!H209</f>
        <v>149.07298507919754</v>
      </c>
      <c r="D206" s="286">
        <f t="shared" si="26"/>
        <v>3.2896105535924015E-2</v>
      </c>
      <c r="E206" s="287">
        <f>(SUM(C204:C206)-SUM(C201:C203))/SUM(C201:C203)</f>
        <v>3.4408419646816624E-2</v>
      </c>
      <c r="F206" s="287">
        <f>(SUM(C201:C206)-SUM(C195:C200))/SUM(C195:C200)</f>
        <v>9.1916928622313987E-2</v>
      </c>
      <c r="G206" s="287">
        <f>(SUM(C195:C206)-SUM(C183:C194))/SUM(C183:C194)</f>
        <v>0.1134536834829433</v>
      </c>
      <c r="H206" s="285">
        <f>(C195+C196+C197+C198+C199+C200+C201+C202+C203+C204+C205+C206)/12</f>
        <v>136.28207801060731</v>
      </c>
    </row>
    <row r="207" spans="1:21" x14ac:dyDescent="0.2">
      <c r="A207" s="2">
        <v>2022</v>
      </c>
      <c r="B207" s="258" t="s">
        <v>8</v>
      </c>
      <c r="C207" s="259">
        <f>+'Indeks '!H210</f>
        <v>151.6159332998738</v>
      </c>
      <c r="D207" s="260">
        <f t="shared" ref="D207:D218" si="28">(C207-C206)/C206</f>
        <v>1.7058410813503747E-2</v>
      </c>
      <c r="E207" s="260"/>
      <c r="F207" s="260"/>
      <c r="G207" s="260"/>
      <c r="H207" s="261"/>
    </row>
    <row r="208" spans="1:21" x14ac:dyDescent="0.2">
      <c r="A208" s="10">
        <f>A207</f>
        <v>2022</v>
      </c>
      <c r="B208" t="s">
        <v>9</v>
      </c>
      <c r="C208" s="264">
        <f>+'Indeks '!H211</f>
        <v>152.48017776582452</v>
      </c>
      <c r="D208" s="265">
        <f t="shared" si="28"/>
        <v>5.7002219169232822E-3</v>
      </c>
      <c r="E208" s="265"/>
      <c r="F208" s="265"/>
      <c r="G208" s="265"/>
      <c r="H208" s="264"/>
    </row>
    <row r="209" spans="1:8" x14ac:dyDescent="0.2">
      <c r="A209" s="267">
        <f t="shared" ref="A209:A218" si="29">A208</f>
        <v>2022</v>
      </c>
      <c r="B209" s="268" t="s">
        <v>10</v>
      </c>
      <c r="C209" s="269">
        <f>+'Indeks '!H212</f>
        <v>153.01888220774231</v>
      </c>
      <c r="D209" s="270">
        <f t="shared" si="28"/>
        <v>3.5329473628048658E-3</v>
      </c>
      <c r="E209" s="270">
        <f>(SUM(C207:C209)-SUM(C204:C206))/SUM(C204:C206)</f>
        <v>5.3189222379122103E-2</v>
      </c>
      <c r="F209" s="270"/>
      <c r="G209" s="270"/>
      <c r="H209" s="269"/>
    </row>
    <row r="210" spans="1:8" x14ac:dyDescent="0.2">
      <c r="A210" s="262">
        <f t="shared" si="29"/>
        <v>2022</v>
      </c>
      <c r="B210" s="271" t="s">
        <v>11</v>
      </c>
      <c r="C210" s="264">
        <f>+'Indeks '!H213</f>
        <v>151.58490392976699</v>
      </c>
      <c r="D210" s="265">
        <f t="shared" si="28"/>
        <v>-9.3712505103030908E-3</v>
      </c>
      <c r="E210" s="265"/>
      <c r="F210" s="265"/>
      <c r="G210" s="265"/>
      <c r="H210" s="264"/>
    </row>
    <row r="211" spans="1:8" x14ac:dyDescent="0.2">
      <c r="A211" s="273">
        <f t="shared" si="29"/>
        <v>2022</v>
      </c>
      <c r="B211" s="274" t="s">
        <v>12</v>
      </c>
      <c r="C211" s="259">
        <f>+'Indeks '!H214</f>
        <v>165.4189116933581</v>
      </c>
      <c r="D211" s="275">
        <f t="shared" si="28"/>
        <v>9.1262437122371615E-2</v>
      </c>
      <c r="E211" s="275"/>
      <c r="F211" s="275"/>
      <c r="G211" s="275"/>
      <c r="H211" s="259"/>
    </row>
    <row r="212" spans="1:8" x14ac:dyDescent="0.2">
      <c r="A212" s="276">
        <f t="shared" si="29"/>
        <v>2022</v>
      </c>
      <c r="B212" s="277" t="s">
        <v>13</v>
      </c>
      <c r="C212" s="278">
        <f>+'Indeks '!H215</f>
        <v>170.21140616713495</v>
      </c>
      <c r="D212" s="279">
        <f t="shared" si="28"/>
        <v>2.8971865578833231E-2</v>
      </c>
      <c r="E212" s="279">
        <f>(SUM(C210:C212)-SUM(C207:C209))/SUM(C207:C209)</f>
        <v>6.5848263478012467E-2</v>
      </c>
      <c r="F212" s="279">
        <f>(SUM(C207:C212)-SUM(C201:C206))/SUM(C201:C206)</f>
        <v>0.10626386778682897</v>
      </c>
      <c r="G212" s="279"/>
      <c r="H212" s="278"/>
    </row>
    <row r="213" spans="1:8" x14ac:dyDescent="0.2">
      <c r="A213" s="273">
        <f t="shared" si="29"/>
        <v>2022</v>
      </c>
      <c r="B213" s="274" t="s">
        <v>30</v>
      </c>
      <c r="C213" s="259">
        <f>+'Indeks '!H216</f>
        <v>170.26115480690299</v>
      </c>
      <c r="D213" s="275">
        <f t="shared" si="28"/>
        <v>2.9227559355917066E-4</v>
      </c>
      <c r="E213" s="275"/>
      <c r="F213" s="275"/>
      <c r="G213" s="275"/>
      <c r="H213" s="259"/>
    </row>
    <row r="214" spans="1:8" x14ac:dyDescent="0.2">
      <c r="A214" s="262">
        <f t="shared" si="29"/>
        <v>2022</v>
      </c>
      <c r="B214" s="271" t="s">
        <v>14</v>
      </c>
      <c r="C214" s="264">
        <f>+'Indeks '!H217</f>
        <v>165.75268505629813</v>
      </c>
      <c r="D214" s="265">
        <f t="shared" si="28"/>
        <v>-2.6479732007679713E-2</v>
      </c>
      <c r="E214" s="265"/>
      <c r="F214" s="265"/>
      <c r="G214" s="265"/>
      <c r="H214" s="264"/>
    </row>
    <row r="215" spans="1:8" x14ac:dyDescent="0.2">
      <c r="A215" s="267">
        <f t="shared" si="29"/>
        <v>2022</v>
      </c>
      <c r="B215" s="280" t="s">
        <v>15</v>
      </c>
      <c r="C215" s="269">
        <f>+'Indeks '!H218</f>
        <v>163.1379225259106</v>
      </c>
      <c r="D215" s="270">
        <f t="shared" si="28"/>
        <v>-1.5775084002406535E-2</v>
      </c>
      <c r="E215" s="270">
        <f>(SUM(C213:C215)-SUM(C210:C212))/SUM(C210:C212)</f>
        <v>2.4499523136800178E-2</v>
      </c>
      <c r="F215" s="270"/>
      <c r="G215" s="270"/>
      <c r="H215" s="269"/>
    </row>
    <row r="216" spans="1:8" x14ac:dyDescent="0.2">
      <c r="A216" s="281">
        <f t="shared" si="29"/>
        <v>2022</v>
      </c>
      <c r="B216" s="282" t="s">
        <v>16</v>
      </c>
      <c r="C216" s="264">
        <f>+'Indeks '!H219</f>
        <v>157.97241120860511</v>
      </c>
      <c r="D216" s="265">
        <f t="shared" si="28"/>
        <v>-3.1663461427768692E-2</v>
      </c>
      <c r="E216" s="265"/>
      <c r="F216" s="265"/>
      <c r="G216" s="265"/>
      <c r="H216" s="264"/>
    </row>
    <row r="217" spans="1:8" x14ac:dyDescent="0.2">
      <c r="A217" s="273">
        <f t="shared" si="29"/>
        <v>2022</v>
      </c>
      <c r="B217" s="274" t="s">
        <v>17</v>
      </c>
      <c r="C217" s="259">
        <f>+'Indeks '!H220</f>
        <v>151.30821131226534</v>
      </c>
      <c r="D217" s="275">
        <f t="shared" si="28"/>
        <v>-4.218584653708668E-2</v>
      </c>
      <c r="E217" s="275"/>
      <c r="F217" s="275"/>
      <c r="G217" s="275"/>
      <c r="H217" s="259"/>
    </row>
    <row r="218" spans="1:8" ht="13.5" thickBot="1" x14ac:dyDescent="0.25">
      <c r="A218" s="276">
        <f t="shared" si="29"/>
        <v>2022</v>
      </c>
      <c r="B218" s="277" t="s">
        <v>18</v>
      </c>
      <c r="C218" s="278">
        <f>+'Indeks '!H221</f>
        <v>152.29433365277629</v>
      </c>
      <c r="D218" s="279">
        <f t="shared" si="28"/>
        <v>6.5173088225583204E-3</v>
      </c>
      <c r="E218" s="279">
        <f>(SUM(C216:C218)-SUM(C213:C215))/SUM(C213:C215)</f>
        <v>-7.5281325334021681E-2</v>
      </c>
      <c r="F218" s="279">
        <f>(SUM(C213:C218)-SUM(C207:C212))/SUM(C207:C212)</f>
        <v>1.7363103750685165E-2</v>
      </c>
      <c r="G218" s="279">
        <f>(SUM(C207:C218)-SUM(C195:C206))/SUM(C195:C206)</f>
        <v>0.16489817873568946</v>
      </c>
      <c r="H218" s="278">
        <f>(C207+C208+C209+C210+C211+C212+C213+C214+C215+C216+C217+C218)/12</f>
        <v>158.75474446887159</v>
      </c>
    </row>
    <row r="219" spans="1:8" x14ac:dyDescent="0.2">
      <c r="A219" s="2">
        <v>2023</v>
      </c>
      <c r="B219" s="258" t="s">
        <v>8</v>
      </c>
      <c r="C219" s="259">
        <f>+'Indeks '!H222</f>
        <v>149.90714697709274</v>
      </c>
      <c r="D219" s="260">
        <f t="shared" ref="D219:D230" si="30">(C219-C218)/C218</f>
        <v>-1.5674822683332538E-2</v>
      </c>
      <c r="E219" s="260"/>
      <c r="F219" s="260"/>
      <c r="G219" s="260"/>
      <c r="H219" s="261"/>
    </row>
    <row r="220" spans="1:8" x14ac:dyDescent="0.2">
      <c r="A220" s="10">
        <f>A219</f>
        <v>2023</v>
      </c>
      <c r="B220" t="s">
        <v>9</v>
      </c>
      <c r="C220" s="264">
        <f>+'Indeks '!H223</f>
        <v>145.09885791409982</v>
      </c>
      <c r="D220" s="265">
        <f t="shared" si="30"/>
        <v>-3.2075115562886843E-2</v>
      </c>
      <c r="E220" s="265"/>
      <c r="F220" s="265"/>
      <c r="G220" s="265"/>
      <c r="H220" s="264"/>
    </row>
    <row r="221" spans="1:8" x14ac:dyDescent="0.2">
      <c r="A221" s="267">
        <f t="shared" ref="A221:A230" si="31">A220</f>
        <v>2023</v>
      </c>
      <c r="B221" s="268" t="s">
        <v>10</v>
      </c>
      <c r="C221" s="269">
        <f>+'Indeks '!H224</f>
        <v>143.62076888888373</v>
      </c>
      <c r="D221" s="270">
        <f t="shared" si="30"/>
        <v>-1.0186772290731182E-2</v>
      </c>
      <c r="E221" s="270">
        <f>(SUM(C219:C221)-SUM(C216:C218))/SUM(C216:C218)</f>
        <v>-4.9717130634221909E-2</v>
      </c>
      <c r="F221" s="270"/>
      <c r="G221" s="270"/>
      <c r="H221" s="269"/>
    </row>
    <row r="222" spans="1:8" x14ac:dyDescent="0.2">
      <c r="A222" s="262">
        <f t="shared" si="31"/>
        <v>2023</v>
      </c>
      <c r="B222" s="271" t="s">
        <v>11</v>
      </c>
      <c r="C222" s="264">
        <f>+'Indeks '!H225</f>
        <v>144.2434829508374</v>
      </c>
      <c r="D222" s="265">
        <f t="shared" si="30"/>
        <v>4.3358218088600606E-3</v>
      </c>
      <c r="E222" s="265"/>
      <c r="F222" s="265"/>
      <c r="G222" s="265"/>
      <c r="H222" s="264"/>
    </row>
    <row r="223" spans="1:8" x14ac:dyDescent="0.2">
      <c r="A223" s="273">
        <f t="shared" si="31"/>
        <v>2023</v>
      </c>
      <c r="B223" s="274" t="s">
        <v>12</v>
      </c>
      <c r="C223" s="259">
        <f>+'Indeks '!H226</f>
        <v>139.81177723004694</v>
      </c>
      <c r="D223" s="275">
        <f t="shared" si="30"/>
        <v>-3.0723784743196488E-2</v>
      </c>
      <c r="E223" s="275"/>
      <c r="F223" s="275"/>
      <c r="G223" s="275"/>
      <c r="H223" s="259"/>
    </row>
    <row r="224" spans="1:8" x14ac:dyDescent="0.2">
      <c r="A224" s="276">
        <f t="shared" si="31"/>
        <v>2023</v>
      </c>
      <c r="B224" s="277" t="s">
        <v>13</v>
      </c>
      <c r="C224" s="278">
        <f>+'Indeks '!H227</f>
        <v>138.4814230043018</v>
      </c>
      <c r="D224" s="279">
        <f t="shared" si="30"/>
        <v>-9.5153230443252908E-3</v>
      </c>
      <c r="E224" s="279">
        <f>(SUM(C222:C224)-SUM(C219:C221))/SUM(C219:C221)</f>
        <v>-3.6682873815991786E-2</v>
      </c>
      <c r="F224" s="279">
        <f>(SUM(C219:C224)-SUM(C213:C218))/SUM(C213:C218)</f>
        <v>-0.10363328059246883</v>
      </c>
      <c r="G224" s="279"/>
      <c r="H224" s="278"/>
    </row>
    <row r="225" spans="1:8" x14ac:dyDescent="0.2">
      <c r="A225" s="273">
        <f t="shared" si="31"/>
        <v>2023</v>
      </c>
      <c r="B225" s="274" t="s">
        <v>30</v>
      </c>
      <c r="C225" s="259">
        <f>+'Indeks '!H228</f>
        <v>136.48865358304451</v>
      </c>
      <c r="D225" s="275">
        <f t="shared" si="30"/>
        <v>-1.4390157019078215E-2</v>
      </c>
      <c r="E225" s="275"/>
      <c r="F225" s="275"/>
      <c r="G225" s="275"/>
      <c r="H225" s="259"/>
    </row>
    <row r="226" spans="1:8" x14ac:dyDescent="0.2">
      <c r="A226" s="262">
        <f t="shared" si="31"/>
        <v>2023</v>
      </c>
      <c r="B226" s="271" t="s">
        <v>14</v>
      </c>
      <c r="C226" s="264">
        <f>+'Indeks '!H229</f>
        <v>138.94281029200616</v>
      </c>
      <c r="D226" s="265">
        <f t="shared" si="30"/>
        <v>1.7980664652600242E-2</v>
      </c>
      <c r="E226" s="265"/>
      <c r="F226" s="265"/>
      <c r="G226" s="265"/>
      <c r="H226" s="264"/>
    </row>
    <row r="227" spans="1:8" x14ac:dyDescent="0.2">
      <c r="A227" s="267">
        <f t="shared" si="31"/>
        <v>2023</v>
      </c>
      <c r="B227" s="280" t="s">
        <v>15</v>
      </c>
      <c r="C227" s="269">
        <f>+'Indeks '!H230</f>
        <v>142.37359201235748</v>
      </c>
      <c r="D227" s="270">
        <f t="shared" si="30"/>
        <v>2.4692042093729723E-2</v>
      </c>
      <c r="E227" s="270">
        <f>(SUM(C225:C227)-SUM(C222:C224))/SUM(C222:C224)</f>
        <v>-1.1198145595572633E-2</v>
      </c>
      <c r="F227" s="270"/>
      <c r="G227" s="270"/>
      <c r="H227" s="269"/>
    </row>
    <row r="228" spans="1:8" x14ac:dyDescent="0.2">
      <c r="A228" s="17">
        <f t="shared" si="31"/>
        <v>2023</v>
      </c>
      <c r="B228" s="282" t="s">
        <v>16</v>
      </c>
      <c r="C228" s="264">
        <f>+'Indeks '!H231</f>
        <v>141.51674038539699</v>
      </c>
      <c r="D228" s="265">
        <f t="shared" si="30"/>
        <v>-6.0183325773372348E-3</v>
      </c>
      <c r="E228" s="265"/>
      <c r="F228" s="265"/>
      <c r="G228" s="265"/>
      <c r="H228" s="264"/>
    </row>
    <row r="229" spans="1:8" x14ac:dyDescent="0.2">
      <c r="A229" s="273">
        <f t="shared" si="31"/>
        <v>2023</v>
      </c>
      <c r="B229" s="274" t="s">
        <v>17</v>
      </c>
      <c r="C229" s="259">
        <f>+'Indeks '!H232</f>
        <v>142.06594761277992</v>
      </c>
      <c r="D229" s="275">
        <f t="shared" si="30"/>
        <v>3.8808640298473749E-3</v>
      </c>
      <c r="E229" s="275"/>
      <c r="F229" s="275"/>
      <c r="G229" s="275"/>
      <c r="H229" s="259"/>
    </row>
    <row r="230" spans="1:8" ht="13.5" thickBot="1" x14ac:dyDescent="0.25">
      <c r="A230" s="12">
        <f t="shared" si="31"/>
        <v>2023</v>
      </c>
      <c r="B230" s="13" t="s">
        <v>18</v>
      </c>
      <c r="C230" s="278">
        <f>+'Indeks '!H233</f>
        <v>144.62942392685758</v>
      </c>
      <c r="D230" s="279">
        <f t="shared" si="30"/>
        <v>1.8044269982731998E-2</v>
      </c>
      <c r="E230" s="279">
        <f>(SUM(C228:C230)-SUM(C225:C227))/SUM(C225:C227)</f>
        <v>2.4908880088877892E-2</v>
      </c>
      <c r="F230" s="279">
        <f>(SUM(C225:C230)-SUM(C219:C224))/SUM(C219:C224)</f>
        <v>-1.758816985360151E-2</v>
      </c>
      <c r="G230" s="279">
        <f>(SUM(C219:C230)-SUM(C207:C218))/SUM(C207:C218)</f>
        <v>-0.10386897386424962</v>
      </c>
      <c r="H230" s="278">
        <f>(C219+C220+C221+C222+C223+C224+C225+C226+C227+C228+C229+C230)/12</f>
        <v>142.26505206480874</v>
      </c>
    </row>
    <row r="231" spans="1:8" x14ac:dyDescent="0.2">
      <c r="A231" s="2">
        <v>2024</v>
      </c>
      <c r="B231" t="s">
        <v>8</v>
      </c>
      <c r="C231" s="259">
        <f>+'Indeks '!H234</f>
        <v>142.81188843108748</v>
      </c>
      <c r="D231" s="260">
        <f t="shared" ref="D231:D242" si="32">(C231-C230)/C230</f>
        <v>-1.2566844604796816E-2</v>
      </c>
      <c r="E231" s="260"/>
      <c r="F231" s="260"/>
      <c r="G231" s="260"/>
      <c r="H231" s="261"/>
    </row>
    <row r="232" spans="1:8" x14ac:dyDescent="0.2">
      <c r="A232" s="10">
        <f>A231</f>
        <v>2024</v>
      </c>
      <c r="B232" t="s">
        <v>9</v>
      </c>
      <c r="C232" s="264">
        <f>+'Indeks '!H235</f>
        <v>140.4663075744017</v>
      </c>
      <c r="D232" s="265">
        <f t="shared" si="32"/>
        <v>-1.642426889283537E-2</v>
      </c>
      <c r="E232" s="265"/>
      <c r="F232" s="265"/>
      <c r="G232" s="265"/>
      <c r="H232" s="264"/>
    </row>
    <row r="233" spans="1:8" x14ac:dyDescent="0.2">
      <c r="A233" s="12">
        <f t="shared" ref="A233:A242" si="33">A232</f>
        <v>2024</v>
      </c>
      <c r="B233" s="13" t="s">
        <v>10</v>
      </c>
      <c r="C233" s="269">
        <f>+'Indeks '!H236</f>
        <v>139.1900071030239</v>
      </c>
      <c r="D233" s="270">
        <f t="shared" si="32"/>
        <v>-9.0861680172077443E-3</v>
      </c>
      <c r="E233" s="270">
        <f>(SUM(C231:C233)-SUM(C228:C230))/SUM(C228:C230)</f>
        <v>-1.341370002520381E-2</v>
      </c>
      <c r="F233" s="270"/>
      <c r="G233" s="270"/>
      <c r="H233" s="269"/>
    </row>
    <row r="234" spans="1:8" x14ac:dyDescent="0.2">
      <c r="A234" s="17">
        <f t="shared" si="33"/>
        <v>2024</v>
      </c>
      <c r="B234" s="18" t="s">
        <v>11</v>
      </c>
      <c r="C234" s="264">
        <f>+'Indeks '!H237</f>
        <v>140.41310317234257</v>
      </c>
      <c r="D234" s="265">
        <f t="shared" si="32"/>
        <v>8.7872405122687864E-3</v>
      </c>
      <c r="E234" s="265"/>
      <c r="F234" s="265"/>
      <c r="G234" s="265"/>
      <c r="H234" s="264"/>
    </row>
    <row r="235" spans="1:8" x14ac:dyDescent="0.2">
      <c r="A235" s="10">
        <f t="shared" si="33"/>
        <v>2024</v>
      </c>
      <c r="B235" t="s">
        <v>12</v>
      </c>
      <c r="C235" s="259">
        <f>+'Indeks '!H238</f>
        <v>142.15000055028113</v>
      </c>
      <c r="D235" s="275">
        <f t="shared" si="32"/>
        <v>1.2369909493465857E-2</v>
      </c>
      <c r="E235" s="275"/>
      <c r="F235" s="275"/>
      <c r="G235" s="275"/>
      <c r="H235" s="259"/>
    </row>
    <row r="236" spans="1:8" x14ac:dyDescent="0.2">
      <c r="A236" s="12">
        <f t="shared" si="33"/>
        <v>2024</v>
      </c>
      <c r="B236" s="13" t="s">
        <v>13</v>
      </c>
      <c r="C236" s="240">
        <f>+'Indeks '!H239</f>
        <v>142.25465915981061</v>
      </c>
      <c r="D236" s="133">
        <f t="shared" si="32"/>
        <v>7.362547247578813E-4</v>
      </c>
      <c r="E236" s="133">
        <f>(SUM(C234:C236)-SUM(C231:C233))/SUM(C231:C233)</f>
        <v>5.5615067752632147E-3</v>
      </c>
      <c r="F236" s="133">
        <f>(SUM(C231:C236)-SUM(C225:C230))/SUM(C225:C230)</f>
        <v>1.4997310063875973E-3</v>
      </c>
      <c r="G236" s="133"/>
      <c r="H236" s="133"/>
    </row>
    <row r="237" spans="1:8" x14ac:dyDescent="0.2">
      <c r="A237" s="17">
        <f t="shared" si="33"/>
        <v>2024</v>
      </c>
      <c r="B237" s="22" t="s">
        <v>30</v>
      </c>
      <c r="C237" s="239">
        <f>+'Indeks '!H240</f>
        <v>142.98196533542256</v>
      </c>
      <c r="D237" s="134">
        <f t="shared" si="32"/>
        <v>5.1127054811953721E-3</v>
      </c>
      <c r="E237" s="134"/>
      <c r="F237" s="134"/>
      <c r="G237" s="134"/>
      <c r="H237" s="111"/>
    </row>
    <row r="238" spans="1:8" x14ac:dyDescent="0.2">
      <c r="A238" s="10">
        <f t="shared" si="33"/>
        <v>2024</v>
      </c>
      <c r="B238" t="s">
        <v>14</v>
      </c>
      <c r="C238" s="239">
        <f>+'Indeks '!H241</f>
        <v>143.08764044504815</v>
      </c>
      <c r="D238" s="111">
        <f t="shared" si="32"/>
        <v>7.390799908064599E-4</v>
      </c>
      <c r="E238" s="111"/>
      <c r="F238" s="111"/>
      <c r="G238" s="111"/>
      <c r="H238" s="111"/>
    </row>
    <row r="239" spans="1:8" x14ac:dyDescent="0.2">
      <c r="A239" s="12">
        <f t="shared" si="33"/>
        <v>2024</v>
      </c>
      <c r="B239" s="13" t="s">
        <v>15</v>
      </c>
      <c r="C239" s="240">
        <f>+'Indeks '!H242</f>
        <v>143.19382760057732</v>
      </c>
      <c r="D239" s="133">
        <f t="shared" si="32"/>
        <v>7.4211270238920958E-4</v>
      </c>
      <c r="E239" s="133">
        <f>(SUM(C237:C239)-SUM(C234:C236))/SUM(C234:C236)</f>
        <v>1.0464888446399591E-2</v>
      </c>
      <c r="F239" s="133"/>
      <c r="G239" s="133"/>
      <c r="H239" s="133"/>
    </row>
    <row r="240" spans="1:8" x14ac:dyDescent="0.2">
      <c r="A240" s="17">
        <f t="shared" si="33"/>
        <v>2024</v>
      </c>
      <c r="B240" s="18" t="s">
        <v>16</v>
      </c>
      <c r="C240" s="239">
        <f>+'Indeks '!H243</f>
        <v>143.92715036305594</v>
      </c>
      <c r="D240" s="111">
        <f t="shared" si="32"/>
        <v>5.1211897521458898E-3</v>
      </c>
      <c r="E240" s="134"/>
      <c r="F240" s="134"/>
      <c r="G240" s="134"/>
      <c r="H240" s="111"/>
    </row>
    <row r="241" spans="1:8" x14ac:dyDescent="0.2">
      <c r="A241" s="10">
        <f t="shared" si="33"/>
        <v>2024</v>
      </c>
      <c r="B241" t="s">
        <v>17</v>
      </c>
      <c r="C241" s="239">
        <f>+'Indeks '!H244</f>
        <v>144.03436926661209</v>
      </c>
      <c r="D241" s="111">
        <f t="shared" si="32"/>
        <v>7.4495259084672756E-4</v>
      </c>
      <c r="E241" s="111"/>
      <c r="F241" s="111"/>
      <c r="G241" s="111"/>
      <c r="H241" s="111"/>
    </row>
    <row r="242" spans="1:8" x14ac:dyDescent="0.2">
      <c r="A242" s="12">
        <f t="shared" si="33"/>
        <v>2024</v>
      </c>
      <c r="B242" s="13" t="s">
        <v>18</v>
      </c>
      <c r="C242" s="240">
        <f>+'Indeks '!H245</f>
        <v>144.1421078982961</v>
      </c>
      <c r="D242" s="75">
        <f t="shared" si="32"/>
        <v>7.4800641147382827E-4</v>
      </c>
      <c r="E242" s="133">
        <f>(SUM(C240:C242)-SUM(C237:C239))/SUM(C237:C239)</f>
        <v>6.6164362627992492E-3</v>
      </c>
      <c r="F242" s="133">
        <f>(SUM(C237:C242)-SUM(C231:C236))/SUM(C231:C236)</f>
        <v>1.6619058361950302E-2</v>
      </c>
      <c r="G242" s="133">
        <f>(SUM(C231:C242)-SUM(C219:C230))/SUM(C219:C230)</f>
        <v>8.6247588619764893E-4</v>
      </c>
      <c r="H242" s="257">
        <f>(C231+C232+C233+C234+C235+C236+C237+C238+C239+C240+C241+C242)/12</f>
        <v>142.38775224166329</v>
      </c>
    </row>
    <row r="243" spans="1:8" x14ac:dyDescent="0.2">
      <c r="A243" s="2">
        <v>2025</v>
      </c>
      <c r="B243" t="s">
        <v>8</v>
      </c>
      <c r="C243" s="239">
        <f>+'Indeks '!H246</f>
        <v>144.94331357904781</v>
      </c>
      <c r="D243" s="111">
        <f t="shared" ref="D243:D254" si="34">(C243-C242)/C242</f>
        <v>5.5584429313120789E-3</v>
      </c>
      <c r="E243" s="111"/>
      <c r="F243" s="111"/>
      <c r="G243" s="111"/>
      <c r="H243" s="111"/>
    </row>
    <row r="244" spans="1:8" x14ac:dyDescent="0.2">
      <c r="A244" s="10">
        <f>A243</f>
        <v>2025</v>
      </c>
      <c r="B244" t="s">
        <v>9</v>
      </c>
      <c r="C244" s="239">
        <f>+'Indeks '!H247</f>
        <v>144.96850366346305</v>
      </c>
      <c r="D244" s="111">
        <f t="shared" si="34"/>
        <v>1.7379266275367118E-4</v>
      </c>
      <c r="E244" s="111"/>
      <c r="F244" s="111"/>
      <c r="G244" s="111"/>
      <c r="H244" s="111"/>
    </row>
    <row r="245" spans="1:8" x14ac:dyDescent="0.2">
      <c r="A245" s="12">
        <f t="shared" ref="A245:A254" si="35">A244</f>
        <v>2025</v>
      </c>
      <c r="B245" s="13" t="s">
        <v>10</v>
      </c>
      <c r="C245" s="240">
        <f>+'Indeks '!H248</f>
        <v>144.99372485789684</v>
      </c>
      <c r="D245" s="133">
        <f t="shared" si="34"/>
        <v>1.7397706257859101E-4</v>
      </c>
      <c r="E245" s="133">
        <f>(SUM(C243:C245)-SUM(C240:C242))/SUM(C240:C242)</f>
        <v>6.4843579038508844E-3</v>
      </c>
      <c r="F245" s="133"/>
      <c r="G245" s="133"/>
      <c r="H245" s="133"/>
    </row>
    <row r="246" spans="1:8" x14ac:dyDescent="0.2">
      <c r="A246" s="17">
        <f t="shared" si="35"/>
        <v>2025</v>
      </c>
      <c r="B246" s="18" t="s">
        <v>11</v>
      </c>
      <c r="C246" s="239">
        <f>+'Indeks '!H249</f>
        <v>145.80189591490614</v>
      </c>
      <c r="D246" s="134">
        <f t="shared" si="34"/>
        <v>5.5738347145806704E-3</v>
      </c>
      <c r="E246" s="134"/>
      <c r="F246" s="134"/>
      <c r="G246" s="134"/>
      <c r="H246" s="111"/>
    </row>
    <row r="247" spans="1:8" x14ac:dyDescent="0.2">
      <c r="A247" s="10">
        <f t="shared" si="35"/>
        <v>2025</v>
      </c>
      <c r="B247" t="s">
        <v>12</v>
      </c>
      <c r="C247" s="239">
        <f>+'Indeks '!H250</f>
        <v>145.82717945514398</v>
      </c>
      <c r="D247" s="111">
        <f t="shared" si="34"/>
        <v>1.7341022953907799E-4</v>
      </c>
      <c r="E247" s="111"/>
      <c r="F247" s="111"/>
      <c r="G247" s="111"/>
      <c r="H247" s="111"/>
    </row>
    <row r="248" spans="1:8" x14ac:dyDescent="0.2">
      <c r="A248" s="12">
        <f t="shared" si="35"/>
        <v>2025</v>
      </c>
      <c r="B248" s="13" t="s">
        <v>13</v>
      </c>
      <c r="C248" s="240">
        <f>+'Indeks '!H251</f>
        <v>145.85249423128639</v>
      </c>
      <c r="D248" s="133">
        <f t="shared" si="34"/>
        <v>1.7359436174376258E-4</v>
      </c>
      <c r="E248" s="133">
        <f>(SUM(C246:C248)-SUM(C243:C245))/SUM(C243:C245)</f>
        <v>5.9231884893618967E-3</v>
      </c>
      <c r="F248" s="133">
        <f>(SUM(C243:C248)-SUM(C237:C242))/SUM(C237:C242)</f>
        <v>1.2793675649847149E-2</v>
      </c>
      <c r="G248" s="133"/>
      <c r="H248" s="133"/>
    </row>
    <row r="249" spans="1:8" x14ac:dyDescent="0.2">
      <c r="A249" s="17">
        <f t="shared" si="35"/>
        <v>2025</v>
      </c>
      <c r="B249" s="22" t="s">
        <v>30</v>
      </c>
      <c r="C249" s="239">
        <f>+'Indeks '!H252</f>
        <v>146.6676918955346</v>
      </c>
      <c r="D249" s="134">
        <f t="shared" si="34"/>
        <v>5.5891924820669348E-3</v>
      </c>
      <c r="E249" s="134"/>
      <c r="F249" s="134"/>
      <c r="G249" s="134"/>
      <c r="H249" s="111"/>
    </row>
    <row r="250" spans="1:8" x14ac:dyDescent="0.2">
      <c r="A250" s="10">
        <f t="shared" si="35"/>
        <v>2025</v>
      </c>
      <c r="B250" t="s">
        <v>14</v>
      </c>
      <c r="C250" s="239">
        <f>+'Indeks '!H253</f>
        <v>146.69306926978953</v>
      </c>
      <c r="D250" s="111">
        <f t="shared" si="34"/>
        <v>1.7302634224996999E-4</v>
      </c>
      <c r="E250" s="111"/>
      <c r="F250" s="111"/>
      <c r="G250" s="111"/>
      <c r="H250" s="111"/>
    </row>
    <row r="251" spans="1:8" x14ac:dyDescent="0.2">
      <c r="A251" s="12">
        <f t="shared" si="35"/>
        <v>2025</v>
      </c>
      <c r="B251" s="13" t="s">
        <v>15</v>
      </c>
      <c r="C251" s="240">
        <f>+'Indeks '!H254</f>
        <v>146.71847800637192</v>
      </c>
      <c r="D251" s="133">
        <f t="shared" si="34"/>
        <v>1.7321020487792621E-4</v>
      </c>
      <c r="E251" s="133">
        <f>(SUM(C249:C251)-SUM(C246:C248))/SUM(C246:C248)</f>
        <v>5.9377805851950462E-3</v>
      </c>
      <c r="F251" s="133"/>
      <c r="G251" s="133"/>
      <c r="H251" s="133"/>
    </row>
    <row r="252" spans="1:8" x14ac:dyDescent="0.2">
      <c r="A252" s="17">
        <f t="shared" si="35"/>
        <v>2025</v>
      </c>
      <c r="B252" s="18" t="s">
        <v>16</v>
      </c>
      <c r="C252" s="239">
        <f>+'Indeks '!H255</f>
        <v>147.54076404931902</v>
      </c>
      <c r="D252" s="111">
        <f t="shared" si="34"/>
        <v>5.6045159009309436E-3</v>
      </c>
      <c r="E252" s="134"/>
      <c r="F252" s="134"/>
      <c r="G252" s="134"/>
      <c r="H252" s="111"/>
    </row>
    <row r="253" spans="1:8" x14ac:dyDescent="0.2">
      <c r="A253" s="10">
        <f t="shared" si="35"/>
        <v>2025</v>
      </c>
      <c r="B253" t="s">
        <v>17</v>
      </c>
      <c r="C253" s="239">
        <f>+'Indeks '!H256</f>
        <v>147.56623563739836</v>
      </c>
      <c r="D253" s="111">
        <f t="shared" si="34"/>
        <v>1.7264102055772709E-4</v>
      </c>
      <c r="E253" s="111"/>
      <c r="F253" s="111"/>
      <c r="G253" s="111"/>
      <c r="H253" s="111"/>
    </row>
    <row r="254" spans="1:8" x14ac:dyDescent="0.2">
      <c r="A254" s="12">
        <f t="shared" si="35"/>
        <v>2025</v>
      </c>
      <c r="B254" s="13" t="s">
        <v>18</v>
      </c>
      <c r="C254" s="240">
        <f>+'Indeks '!H257</f>
        <v>147.59173871476725</v>
      </c>
      <c r="D254" s="75">
        <f t="shared" si="34"/>
        <v>1.728246116648802E-4</v>
      </c>
      <c r="E254" s="133">
        <f>(SUM(C252:C254)-SUM(C249:C251))/SUM(C249:C251)</f>
        <v>5.9523353901422757E-3</v>
      </c>
      <c r="F254" s="133">
        <f>(SUM(C249:C254)-SUM(C243:C248))/SUM(C243:C248)</f>
        <v>1.1910842941234059E-2</v>
      </c>
      <c r="G254" s="133">
        <f>(SUM(C243:C254)-SUM(C231:C242))/SUM(C231:C242)</f>
        <v>2.7221478932649812E-2</v>
      </c>
      <c r="H254" s="257">
        <f>(C243+C244+C245+C246+C247+C248+C249+C250+C251+C252+C253+C254)/12</f>
        <v>146.26375743957709</v>
      </c>
    </row>
  </sheetData>
  <pageMargins left="0.7" right="0.7" top="0.75" bottom="0.75" header="0.3" footer="0.3"/>
  <pageSetup paperSize="9" fitToHeight="0" orientation="portrait" r:id="rId1"/>
  <ignoredErrors>
    <ignoredError sqref="D3:D86 C3:C8 A39 A51 A63 A75" calculatedColumn="1"/>
  </ignoredError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3">
    <pageSetUpPr fitToPage="1"/>
  </sheetPr>
  <dimension ref="A1:Z129"/>
  <sheetViews>
    <sheetView tabSelected="1" view="pageBreakPreview" topLeftCell="A4" zoomScaleNormal="100" zoomScaleSheetLayoutView="100" workbookViewId="0">
      <selection activeCell="Q232" sqref="Q232"/>
    </sheetView>
  </sheetViews>
  <sheetFormatPr defaultRowHeight="12.75" x14ac:dyDescent="0.2"/>
  <cols>
    <col min="1" max="1" width="12.140625" customWidth="1"/>
    <col min="2" max="2" width="53.42578125" customWidth="1"/>
    <col min="3" max="3" width="13.140625" customWidth="1"/>
    <col min="4" max="4" width="12.140625" customWidth="1"/>
    <col min="5" max="5" width="8.42578125" customWidth="1"/>
    <col min="7" max="7" width="20.42578125" customWidth="1"/>
    <col min="12" max="12" width="0" hidden="1" customWidth="1"/>
    <col min="13" max="13" width="26" customWidth="1"/>
    <col min="16" max="16" width="12.42578125" customWidth="1"/>
    <col min="17" max="17" width="9" customWidth="1"/>
    <col min="19" max="19" width="11.28515625" bestFit="1" customWidth="1"/>
  </cols>
  <sheetData>
    <row r="1" spans="1:6" ht="15.75" x14ac:dyDescent="0.25">
      <c r="A1" s="58" t="s">
        <v>32</v>
      </c>
    </row>
    <row r="2" spans="1:6" x14ac:dyDescent="0.2">
      <c r="A2" s="5" t="s">
        <v>29</v>
      </c>
      <c r="B2" s="5" t="s">
        <v>84</v>
      </c>
    </row>
    <row r="3" spans="1:6" x14ac:dyDescent="0.2">
      <c r="A3" s="5"/>
      <c r="B3" s="5"/>
    </row>
    <row r="4" spans="1:6" x14ac:dyDescent="0.2">
      <c r="A4" s="2" t="s">
        <v>23</v>
      </c>
      <c r="B4" s="2" t="s">
        <v>24</v>
      </c>
      <c r="C4" s="2" t="s">
        <v>25</v>
      </c>
      <c r="D4" s="2" t="s">
        <v>37</v>
      </c>
      <c r="E4" s="2" t="s">
        <v>28</v>
      </c>
    </row>
    <row r="5" spans="1:6" ht="75.75" x14ac:dyDescent="0.2">
      <c r="A5" s="96" t="s">
        <v>3</v>
      </c>
      <c r="B5" s="119" t="s">
        <v>67</v>
      </c>
      <c r="C5" t="s">
        <v>26</v>
      </c>
      <c r="D5" s="6" t="s">
        <v>38</v>
      </c>
      <c r="E5" s="59">
        <f>+'Indeks '!C184</f>
        <v>0.62437330984782446</v>
      </c>
    </row>
    <row r="6" spans="1:6" ht="26.25" customHeight="1" x14ac:dyDescent="0.2">
      <c r="A6" s="165" t="s">
        <v>118</v>
      </c>
      <c r="B6" s="293" t="s">
        <v>120</v>
      </c>
      <c r="C6" t="s">
        <v>27</v>
      </c>
      <c r="D6" s="6" t="s">
        <v>39</v>
      </c>
      <c r="E6" s="59">
        <f>+'Indeks '!D184</f>
        <v>0.21756670770504191</v>
      </c>
      <c r="F6" s="59"/>
    </row>
    <row r="7" spans="1:6" x14ac:dyDescent="0.2">
      <c r="A7" s="96"/>
      <c r="B7" s="293"/>
      <c r="D7" s="6"/>
      <c r="E7" s="59"/>
      <c r="F7" s="59"/>
    </row>
    <row r="8" spans="1:6" ht="66" customHeight="1" x14ac:dyDescent="0.2">
      <c r="A8" s="96"/>
      <c r="B8" s="173" t="s">
        <v>122</v>
      </c>
      <c r="D8" s="6"/>
      <c r="E8" s="59"/>
      <c r="F8" s="59"/>
    </row>
    <row r="9" spans="1:6" ht="47.25" customHeight="1" x14ac:dyDescent="0.2">
      <c r="A9" s="96"/>
      <c r="B9" s="294" t="s">
        <v>125</v>
      </c>
      <c r="C9" s="294"/>
      <c r="D9" s="294"/>
      <c r="E9" s="294"/>
      <c r="F9" s="59"/>
    </row>
    <row r="10" spans="1:6" ht="25.5" x14ac:dyDescent="0.2">
      <c r="A10" s="96" t="s">
        <v>5</v>
      </c>
      <c r="B10" s="119" t="s">
        <v>71</v>
      </c>
      <c r="C10" t="s">
        <v>27</v>
      </c>
      <c r="D10" s="6" t="s">
        <v>39</v>
      </c>
      <c r="E10" s="59">
        <f>+'Indeks '!E184</f>
        <v>7.5519557282073158E-2</v>
      </c>
      <c r="F10" s="59"/>
    </row>
    <row r="11" spans="1:6" x14ac:dyDescent="0.2">
      <c r="A11" s="96"/>
      <c r="B11" s="144" t="s">
        <v>72</v>
      </c>
      <c r="D11" s="6"/>
      <c r="E11" s="59"/>
      <c r="F11" s="59"/>
    </row>
    <row r="12" spans="1:6" ht="102" x14ac:dyDescent="0.2">
      <c r="A12" s="96" t="s">
        <v>6</v>
      </c>
      <c r="B12" s="119" t="s">
        <v>89</v>
      </c>
      <c r="C12" t="s">
        <v>27</v>
      </c>
      <c r="D12" s="6" t="s">
        <v>39</v>
      </c>
      <c r="E12" s="59">
        <f>+'Indeks '!F184</f>
        <v>7.8885060784657013E-2</v>
      </c>
    </row>
    <row r="13" spans="1:6" ht="37.5" x14ac:dyDescent="0.2">
      <c r="A13" s="96" t="s">
        <v>7</v>
      </c>
      <c r="B13" s="119" t="s">
        <v>133</v>
      </c>
      <c r="C13" t="s">
        <v>27</v>
      </c>
      <c r="D13" s="6" t="s">
        <v>39</v>
      </c>
      <c r="E13" s="59">
        <f>+'Indeks '!G184</f>
        <v>3.6553643804033962E-3</v>
      </c>
    </row>
    <row r="14" spans="1:6" x14ac:dyDescent="0.2">
      <c r="A14" s="96"/>
      <c r="B14" s="119" t="s">
        <v>132</v>
      </c>
      <c r="D14" s="6"/>
      <c r="E14" s="59"/>
    </row>
    <row r="15" spans="1:6" x14ac:dyDescent="0.2">
      <c r="B15" s="119"/>
    </row>
    <row r="17" spans="6:26" ht="15" customHeight="1" x14ac:dyDescent="0.2"/>
    <row r="18" spans="6:26" x14ac:dyDescent="0.2">
      <c r="F18" s="241"/>
      <c r="G18" s="241"/>
      <c r="H18" s="241"/>
      <c r="I18" s="241"/>
      <c r="J18" s="241"/>
    </row>
    <row r="23" spans="6:26" x14ac:dyDescent="0.2">
      <c r="F23" s="241"/>
    </row>
    <row r="26" spans="6:26" ht="14.25" customHeight="1" x14ac:dyDescent="0.2">
      <c r="Y26" s="149"/>
      <c r="Z26" s="149"/>
    </row>
    <row r="27" spans="6:26" x14ac:dyDescent="0.2">
      <c r="Y27" s="149"/>
      <c r="Z27" s="149"/>
    </row>
    <row r="32" spans="6:26" x14ac:dyDescent="0.2">
      <c r="Q32" s="158"/>
      <c r="S32" s="154"/>
    </row>
    <row r="33" spans="2:19" x14ac:dyDescent="0.2">
      <c r="R33" s="154"/>
      <c r="S33" s="154"/>
    </row>
    <row r="34" spans="2:19" x14ac:dyDescent="0.2">
      <c r="R34" s="154"/>
      <c r="S34" s="159"/>
    </row>
    <row r="35" spans="2:19" x14ac:dyDescent="0.2">
      <c r="R35" s="154"/>
      <c r="S35" s="154"/>
    </row>
    <row r="36" spans="2:19" x14ac:dyDescent="0.2">
      <c r="R36" s="154"/>
      <c r="S36" s="154"/>
    </row>
    <row r="37" spans="2:19" x14ac:dyDescent="0.2">
      <c r="S37" s="154"/>
    </row>
    <row r="38" spans="2:19" x14ac:dyDescent="0.2">
      <c r="S38" s="154"/>
    </row>
    <row r="39" spans="2:19" x14ac:dyDescent="0.2">
      <c r="O39" s="148"/>
    </row>
    <row r="40" spans="2:19" x14ac:dyDescent="0.2">
      <c r="O40" s="148"/>
    </row>
    <row r="41" spans="2:19" x14ac:dyDescent="0.2">
      <c r="B41" s="21"/>
      <c r="G41" s="21"/>
    </row>
    <row r="47" spans="2:19" x14ac:dyDescent="0.2">
      <c r="F47" s="241"/>
      <c r="G47" s="241"/>
    </row>
    <row r="48" spans="2:19" x14ac:dyDescent="0.2">
      <c r="F48" s="241"/>
      <c r="G48" s="241"/>
    </row>
    <row r="59" spans="7:7" x14ac:dyDescent="0.2">
      <c r="G59" s="120"/>
    </row>
    <row r="129" spans="6:6" x14ac:dyDescent="0.2">
      <c r="F129" s="11"/>
    </row>
  </sheetData>
  <mergeCells count="2">
    <mergeCell ref="B6:B7"/>
    <mergeCell ref="B9:E9"/>
  </mergeCells>
  <phoneticPr fontId="5" type="noConversion"/>
  <hyperlinks>
    <hyperlink ref="B6" r:id="rId1" display="http://www.svenskkollektivtrafik.se/partnersamverkan/index/hvo-index/" xr:uid="{00000000-0004-0000-0300-000000000000}"/>
    <hyperlink ref="B8" r:id="rId2" display="Omregning fra SEK til DKK sker på basis af Nationalbankens valutakurser på samme dato som HVO prisen er baseret*. http://www.nationalbanken.dk/da/statistik/valutakurs/Sider/default.aspx" xr:uid="{00000000-0004-0000-0300-000001000000}"/>
    <hyperlink ref="B6:B7" r:id="rId3" display="https://www.svenskkollektivtrafik.se/partnersamverkan/index/drivmedelsindex-rme/" xr:uid="{00000000-0004-0000-0300-000002000000}"/>
  </hyperlinks>
  <pageMargins left="0.35433070866141736" right="0.35433070866141736" top="0.98425196850393704" bottom="0.98425196850393704" header="0" footer="0"/>
  <pageSetup paperSize="9" scale="73" fitToWidth="0" orientation="portrait" r:id="rId4"/>
  <headerFooter alignWithMargins="0"/>
  <drawing r:id="rId5"/>
  <legacy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K7"/>
  <sheetViews>
    <sheetView workbookViewId="0">
      <selection activeCell="A4" sqref="A4"/>
    </sheetView>
  </sheetViews>
  <sheetFormatPr defaultRowHeight="12.75" x14ac:dyDescent="0.2"/>
  <cols>
    <col min="1" max="1" width="47" customWidth="1"/>
    <col min="2" max="2" width="11.42578125" customWidth="1"/>
    <col min="3" max="8" width="6.140625" customWidth="1"/>
    <col min="9" max="9" width="7.42578125" customWidth="1"/>
  </cols>
  <sheetData>
    <row r="2" spans="1:11" x14ac:dyDescent="0.2">
      <c r="A2" s="2" t="s">
        <v>57</v>
      </c>
    </row>
    <row r="3" spans="1:11" x14ac:dyDescent="0.2">
      <c r="A3" s="121"/>
      <c r="B3" s="121" t="s">
        <v>2</v>
      </c>
      <c r="C3" s="121" t="s">
        <v>48</v>
      </c>
      <c r="D3" s="121" t="s">
        <v>49</v>
      </c>
      <c r="E3" s="121" t="s">
        <v>50</v>
      </c>
      <c r="F3" s="121" t="s">
        <v>52</v>
      </c>
      <c r="G3" s="121" t="s">
        <v>53</v>
      </c>
      <c r="H3" s="121" t="s">
        <v>59</v>
      </c>
      <c r="I3" s="127" t="s">
        <v>62</v>
      </c>
      <c r="J3" s="127" t="s">
        <v>61</v>
      </c>
      <c r="K3" s="127" t="s">
        <v>63</v>
      </c>
    </row>
    <row r="4" spans="1:11" x14ac:dyDescent="0.2">
      <c r="A4" s="121"/>
      <c r="B4" s="121" t="s">
        <v>51</v>
      </c>
      <c r="C4" s="121" t="s">
        <v>50</v>
      </c>
      <c r="D4" s="121" t="s">
        <v>52</v>
      </c>
      <c r="E4" s="121" t="s">
        <v>53</v>
      </c>
      <c r="F4" s="121" t="s">
        <v>59</v>
      </c>
      <c r="G4" s="121" t="s">
        <v>60</v>
      </c>
      <c r="H4" s="121" t="s">
        <v>61</v>
      </c>
      <c r="I4" s="127" t="s">
        <v>63</v>
      </c>
      <c r="J4" s="127" t="s">
        <v>64</v>
      </c>
      <c r="K4" s="128" t="s">
        <v>65</v>
      </c>
    </row>
    <row r="5" spans="1:11" x14ac:dyDescent="0.2">
      <c r="A5" s="121" t="s">
        <v>56</v>
      </c>
      <c r="B5" s="121" t="s">
        <v>54</v>
      </c>
      <c r="C5" s="122">
        <v>99.1</v>
      </c>
      <c r="D5" s="123"/>
      <c r="E5" s="123"/>
      <c r="F5" s="123"/>
      <c r="G5" s="123"/>
      <c r="H5" s="123"/>
      <c r="I5" s="123"/>
      <c r="J5" s="123"/>
      <c r="K5" s="123"/>
    </row>
    <row r="6" spans="1:11" x14ac:dyDescent="0.2">
      <c r="A6" s="126" t="s">
        <v>57</v>
      </c>
      <c r="B6" s="121" t="s">
        <v>55</v>
      </c>
      <c r="C6" s="124">
        <v>100.2</v>
      </c>
      <c r="D6" s="124">
        <v>100</v>
      </c>
      <c r="E6" s="124">
        <v>100.2</v>
      </c>
      <c r="F6" s="124">
        <v>99.9</v>
      </c>
      <c r="G6" s="124">
        <v>99.8</v>
      </c>
      <c r="H6" s="124">
        <v>100</v>
      </c>
      <c r="I6" s="124">
        <v>100.1</v>
      </c>
      <c r="J6" s="124">
        <v>100</v>
      </c>
      <c r="K6" s="124">
        <v>100</v>
      </c>
    </row>
    <row r="7" spans="1:11" x14ac:dyDescent="0.2">
      <c r="A7" s="121" t="s">
        <v>58</v>
      </c>
      <c r="B7" s="121" t="s">
        <v>54</v>
      </c>
      <c r="C7" s="123">
        <f>+C5/C6</f>
        <v>0.98902195608782428</v>
      </c>
      <c r="D7" s="125">
        <f t="shared" ref="D7:J7" si="0">+$C7*D6</f>
        <v>98.902195608782435</v>
      </c>
      <c r="E7" s="125">
        <f t="shared" si="0"/>
        <v>99.1</v>
      </c>
      <c r="F7" s="125">
        <f t="shared" si="0"/>
        <v>98.803293413173648</v>
      </c>
      <c r="G7" s="125">
        <f t="shared" si="0"/>
        <v>98.704391217564861</v>
      </c>
      <c r="H7" s="125">
        <f t="shared" si="0"/>
        <v>98.902195608782435</v>
      </c>
      <c r="I7" s="125">
        <f t="shared" si="0"/>
        <v>99.001097804391208</v>
      </c>
      <c r="J7" s="125">
        <f t="shared" si="0"/>
        <v>98.902195608782435</v>
      </c>
      <c r="K7" s="125">
        <f>+$C7*K6</f>
        <v>98.902195608782435</v>
      </c>
    </row>
  </sheetData>
  <pageMargins left="0.7" right="0.7" top="0.75" bottom="0.75" header="0.3" footer="0.3"/>
  <pageSetup paperSize="9" scale="6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95"/>
  <sheetViews>
    <sheetView tabSelected="1" view="pageBreakPreview" topLeftCell="A73" zoomScale="90" zoomScaleNormal="80" zoomScaleSheetLayoutView="90" workbookViewId="0">
      <selection activeCell="Q232" sqref="Q232"/>
    </sheetView>
  </sheetViews>
  <sheetFormatPr defaultRowHeight="12.75" x14ac:dyDescent="0.2"/>
  <cols>
    <col min="1" max="1" width="24.85546875" customWidth="1"/>
    <col min="2" max="3" width="14" bestFit="1" customWidth="1"/>
    <col min="6" max="6" width="9" customWidth="1"/>
    <col min="7" max="7" width="16.42578125" customWidth="1"/>
    <col min="8" max="9" width="9.5703125" bestFit="1" customWidth="1"/>
    <col min="10" max="10" width="20.85546875" customWidth="1"/>
    <col min="11" max="11" width="13" bestFit="1" customWidth="1"/>
    <col min="12" max="12" width="10.28515625" bestFit="1" customWidth="1"/>
    <col min="13" max="13" width="9.5703125" bestFit="1" customWidth="1"/>
  </cols>
  <sheetData>
    <row r="1" spans="1:14" x14ac:dyDescent="0.2">
      <c r="A1" s="297" t="s">
        <v>111</v>
      </c>
      <c r="B1" s="297"/>
      <c r="C1" s="297"/>
      <c r="D1" s="297"/>
      <c r="E1" s="297"/>
      <c r="F1" s="297"/>
      <c r="G1" s="297"/>
      <c r="H1" s="297"/>
      <c r="I1" s="297"/>
    </row>
    <row r="2" spans="1:14" ht="13.5" thickBot="1" x14ac:dyDescent="0.25"/>
    <row r="3" spans="1:14" ht="15" x14ac:dyDescent="0.25">
      <c r="A3" s="203" t="s">
        <v>112</v>
      </c>
      <c r="B3" s="222"/>
      <c r="C3" s="46"/>
      <c r="D3" s="204"/>
      <c r="E3" s="203"/>
      <c r="F3" s="47"/>
      <c r="G3" s="47"/>
      <c r="H3" s="161"/>
      <c r="J3" s="198" t="s">
        <v>90</v>
      </c>
    </row>
    <row r="4" spans="1:14" ht="15" x14ac:dyDescent="0.25">
      <c r="A4" s="233" t="s">
        <v>128</v>
      </c>
      <c r="B4" s="223"/>
      <c r="C4" s="223"/>
      <c r="H4" s="162"/>
      <c r="J4" t="s">
        <v>77</v>
      </c>
      <c r="K4" t="s">
        <v>91</v>
      </c>
      <c r="L4">
        <v>2.58</v>
      </c>
      <c r="M4" t="s">
        <v>92</v>
      </c>
      <c r="N4" t="s">
        <v>93</v>
      </c>
    </row>
    <row r="5" spans="1:14" ht="15" x14ac:dyDescent="0.25">
      <c r="A5" s="183" t="s">
        <v>117</v>
      </c>
      <c r="B5" s="181" t="s">
        <v>3</v>
      </c>
      <c r="C5" s="181" t="s">
        <v>4</v>
      </c>
      <c r="D5" s="170" t="s">
        <v>74</v>
      </c>
      <c r="E5" s="181" t="s">
        <v>6</v>
      </c>
      <c r="F5" s="182" t="s">
        <v>7</v>
      </c>
      <c r="G5" s="182" t="s">
        <v>0</v>
      </c>
      <c r="H5" s="162"/>
      <c r="J5" t="s">
        <v>81</v>
      </c>
      <c r="K5" t="s">
        <v>91</v>
      </c>
      <c r="L5">
        <v>8.9999999999999993E-3</v>
      </c>
      <c r="M5" t="s">
        <v>92</v>
      </c>
      <c r="N5" s="199" t="s">
        <v>94</v>
      </c>
    </row>
    <row r="6" spans="1:14" ht="15" x14ac:dyDescent="0.25">
      <c r="A6" s="151" t="s">
        <v>28</v>
      </c>
      <c r="B6" s="171">
        <v>0.6</v>
      </c>
      <c r="C6" s="171">
        <v>0.17</v>
      </c>
      <c r="D6" s="171">
        <v>0.08</v>
      </c>
      <c r="E6" s="171">
        <v>0.09</v>
      </c>
      <c r="F6" s="152">
        <v>0.06</v>
      </c>
      <c r="G6" s="152"/>
      <c r="H6" s="162"/>
      <c r="J6" t="s">
        <v>79</v>
      </c>
      <c r="K6" t="s">
        <v>91</v>
      </c>
      <c r="L6">
        <v>0</v>
      </c>
      <c r="M6" t="s">
        <v>92</v>
      </c>
      <c r="N6" s="199" t="s">
        <v>95</v>
      </c>
    </row>
    <row r="7" spans="1:14" x14ac:dyDescent="0.2">
      <c r="A7" s="153" t="s">
        <v>126</v>
      </c>
      <c r="B7" s="151">
        <f>+'Indeks '!C40</f>
        <v>108.6</v>
      </c>
      <c r="C7" s="151">
        <f>+'Indeks '!D40</f>
        <v>142.80000000000001</v>
      </c>
      <c r="D7" s="151">
        <f>+'Indeks '!E40</f>
        <v>115.5</v>
      </c>
      <c r="E7" s="151">
        <f>+'Indeks '!F40</f>
        <v>97.1</v>
      </c>
      <c r="F7" s="225">
        <f>+'Indeks '!G40</f>
        <v>4.7699999999999996</v>
      </c>
      <c r="G7" s="156">
        <v>100</v>
      </c>
      <c r="H7" s="162"/>
      <c r="J7" t="s">
        <v>75</v>
      </c>
      <c r="K7" t="s">
        <v>91</v>
      </c>
      <c r="L7">
        <v>7.49</v>
      </c>
      <c r="M7" t="s">
        <v>92</v>
      </c>
      <c r="N7" t="s">
        <v>93</v>
      </c>
    </row>
    <row r="8" spans="1:14" x14ac:dyDescent="0.2">
      <c r="A8" s="153" t="s">
        <v>127</v>
      </c>
      <c r="B8" s="185">
        <v>139.99985999999998</v>
      </c>
      <c r="C8" s="185">
        <v>159.85913621262461</v>
      </c>
      <c r="D8" s="185">
        <v>135.06913827655313</v>
      </c>
      <c r="E8" s="185">
        <v>105.43290711538535</v>
      </c>
      <c r="F8" s="226">
        <v>0.36</v>
      </c>
      <c r="G8" s="186">
        <v>116</v>
      </c>
      <c r="H8" s="224"/>
      <c r="J8" t="s">
        <v>96</v>
      </c>
      <c r="K8" t="s">
        <v>91</v>
      </c>
      <c r="L8">
        <v>0.1</v>
      </c>
      <c r="M8" t="s">
        <v>92</v>
      </c>
      <c r="N8" t="s">
        <v>97</v>
      </c>
    </row>
    <row r="9" spans="1:14" x14ac:dyDescent="0.2">
      <c r="A9" s="155" t="s">
        <v>80</v>
      </c>
      <c r="B9" s="230">
        <f>+(B8/B7*B6)/$G$8*100</f>
        <v>0.66679300819203646</v>
      </c>
      <c r="C9" s="230">
        <f>+(C8/C7*C6)/$G$8*100</f>
        <v>0.16405904783725841</v>
      </c>
      <c r="D9" s="230">
        <f>+(D8/D7*D6)/$G$8*100</f>
        <v>8.0650328870907978E-2</v>
      </c>
      <c r="E9" s="230">
        <f>+(E8/E7*E6)/$G$8*100</f>
        <v>8.4244483472288453E-2</v>
      </c>
      <c r="F9" s="231">
        <f>+(F8/F7*F6)/$G$8*100</f>
        <v>3.9037085230969417E-3</v>
      </c>
      <c r="G9" s="160">
        <v>1</v>
      </c>
      <c r="H9" s="162"/>
      <c r="J9" t="s">
        <v>98</v>
      </c>
      <c r="K9" t="s">
        <v>91</v>
      </c>
      <c r="L9" s="21">
        <f>0.25*SUM(L7:L8)</f>
        <v>1.8975</v>
      </c>
      <c r="M9" t="s">
        <v>92</v>
      </c>
      <c r="N9" t="s">
        <v>99</v>
      </c>
    </row>
    <row r="10" spans="1:14" x14ac:dyDescent="0.2">
      <c r="A10" s="184" t="s">
        <v>123</v>
      </c>
      <c r="B10" s="181" t="s">
        <v>3</v>
      </c>
      <c r="C10" s="232" t="s">
        <v>118</v>
      </c>
      <c r="D10" s="170" t="s">
        <v>74</v>
      </c>
      <c r="E10" s="181" t="s">
        <v>6</v>
      </c>
      <c r="F10" s="182" t="s">
        <v>7</v>
      </c>
      <c r="G10" s="176"/>
      <c r="H10" s="162"/>
      <c r="J10" t="s">
        <v>82</v>
      </c>
      <c r="K10" t="s">
        <v>91</v>
      </c>
      <c r="L10" s="21">
        <f>SUM(L4:L9)</f>
        <v>12.076499999999999</v>
      </c>
    </row>
    <row r="11" spans="1:14" ht="15" x14ac:dyDescent="0.25">
      <c r="A11" s="156" t="s">
        <v>28</v>
      </c>
      <c r="B11" s="189">
        <v>0.6</v>
      </c>
      <c r="C11" s="189">
        <v>0.17</v>
      </c>
      <c r="D11" s="189">
        <v>0.08</v>
      </c>
      <c r="E11" s="189">
        <v>0.09</v>
      </c>
      <c r="F11" s="189">
        <v>0.06</v>
      </c>
      <c r="G11" s="188"/>
      <c r="H11" s="162"/>
      <c r="J11" s="200" t="s">
        <v>100</v>
      </c>
      <c r="K11" t="s">
        <v>91</v>
      </c>
      <c r="L11" s="201">
        <f>L10/L15</f>
        <v>12.83128125</v>
      </c>
    </row>
    <row r="12" spans="1:14" x14ac:dyDescent="0.2">
      <c r="A12" s="153" t="s">
        <v>76</v>
      </c>
      <c r="B12" s="153">
        <f>+B7</f>
        <v>108.6</v>
      </c>
      <c r="C12" s="185">
        <f>+C7</f>
        <v>142.80000000000001</v>
      </c>
      <c r="D12" s="153">
        <f>+D7</f>
        <v>115.5</v>
      </c>
      <c r="E12" s="153">
        <f>+E7</f>
        <v>97.1</v>
      </c>
      <c r="F12" s="227">
        <f>+F7</f>
        <v>4.7699999999999996</v>
      </c>
      <c r="G12" s="157">
        <v>100</v>
      </c>
      <c r="H12" s="162"/>
    </row>
    <row r="13" spans="1:14" x14ac:dyDescent="0.2">
      <c r="A13" s="153" t="s">
        <v>78</v>
      </c>
      <c r="B13" s="185">
        <f>+B8</f>
        <v>139.99985999999998</v>
      </c>
      <c r="C13" s="187">
        <f>+L11/L26*C8</f>
        <v>226.41398941732393</v>
      </c>
      <c r="D13" s="185">
        <f>+D8</f>
        <v>135.06913827655313</v>
      </c>
      <c r="E13" s="185">
        <f>+E8</f>
        <v>105.43290711538535</v>
      </c>
      <c r="F13" s="227">
        <f>+F8</f>
        <v>0.36</v>
      </c>
      <c r="G13" s="186">
        <f>+'Indeks '!H187</f>
        <v>123.88099832314721</v>
      </c>
      <c r="H13" s="162"/>
      <c r="J13" t="s">
        <v>101</v>
      </c>
      <c r="K13" t="s">
        <v>83</v>
      </c>
      <c r="L13">
        <v>33.6</v>
      </c>
      <c r="M13" t="s">
        <v>102</v>
      </c>
      <c r="N13" t="s">
        <v>103</v>
      </c>
    </row>
    <row r="14" spans="1:14" x14ac:dyDescent="0.2">
      <c r="A14" s="155" t="s">
        <v>80</v>
      </c>
      <c r="B14" s="237">
        <f>+(B13/B12*B11)/$G$13*100</f>
        <v>0.62437330984782446</v>
      </c>
      <c r="C14" s="237">
        <f>+(C13/C12*C11)/$G$13*100</f>
        <v>0.21758015130694067</v>
      </c>
      <c r="D14" s="237">
        <f>+(D13/D12*D11)/$G$13*100</f>
        <v>7.5519557282073158E-2</v>
      </c>
      <c r="E14" s="237">
        <f>+(E13/E12*E11)/$G$13*100</f>
        <v>7.8885060784657013E-2</v>
      </c>
      <c r="F14" s="237">
        <f>+(F13/F12*F11)/$G$13*100</f>
        <v>3.6553643804033962E-3</v>
      </c>
      <c r="G14" s="172">
        <f>B14+C14+D14+E14+F14</f>
        <v>1.0000134436018986</v>
      </c>
      <c r="H14" s="162"/>
      <c r="J14" t="s">
        <v>104</v>
      </c>
      <c r="K14" t="s">
        <v>83</v>
      </c>
      <c r="L14">
        <v>35.700000000000003</v>
      </c>
      <c r="M14" t="s">
        <v>102</v>
      </c>
      <c r="N14" t="s">
        <v>103</v>
      </c>
    </row>
    <row r="15" spans="1:14" x14ac:dyDescent="0.2">
      <c r="H15" s="162"/>
      <c r="J15" t="s">
        <v>105</v>
      </c>
      <c r="K15" t="s">
        <v>106</v>
      </c>
      <c r="L15" s="202">
        <f>L13/L14</f>
        <v>0.94117647058823528</v>
      </c>
    </row>
    <row r="16" spans="1:14" ht="13.15" customHeight="1" x14ac:dyDescent="0.2">
      <c r="A16" s="298" t="s">
        <v>113</v>
      </c>
      <c r="B16" s="298"/>
      <c r="C16" s="298"/>
      <c r="D16" s="298"/>
      <c r="E16" s="298"/>
      <c r="F16" s="298"/>
      <c r="G16" s="298"/>
      <c r="H16" s="162"/>
    </row>
    <row r="17" spans="1:14" x14ac:dyDescent="0.2">
      <c r="A17" s="298"/>
      <c r="B17" s="298"/>
      <c r="C17" s="298"/>
      <c r="D17" s="298"/>
      <c r="E17" s="298"/>
      <c r="F17" s="298"/>
      <c r="G17" s="298"/>
      <c r="H17" s="162"/>
    </row>
    <row r="18" spans="1:14" ht="15.75" thickBot="1" x14ac:dyDescent="0.3">
      <c r="A18" s="30"/>
      <c r="B18" s="30"/>
      <c r="C18" s="30"/>
      <c r="D18" s="30"/>
      <c r="E18" s="163"/>
      <c r="F18" s="30"/>
      <c r="G18" s="163"/>
      <c r="H18" s="164"/>
      <c r="J18" s="198" t="s">
        <v>107</v>
      </c>
    </row>
    <row r="19" spans="1:14" ht="15.6" customHeight="1" x14ac:dyDescent="0.2">
      <c r="J19" t="s">
        <v>77</v>
      </c>
      <c r="K19" t="s">
        <v>91</v>
      </c>
      <c r="L19">
        <v>2.58</v>
      </c>
    </row>
    <row r="20" spans="1:14" x14ac:dyDescent="0.2">
      <c r="J20" t="s">
        <v>81</v>
      </c>
      <c r="K20" t="s">
        <v>91</v>
      </c>
      <c r="L20">
        <v>8.9999999999999993E-3</v>
      </c>
    </row>
    <row r="21" spans="1:14" ht="14.45" customHeight="1" x14ac:dyDescent="0.25">
      <c r="J21" t="s">
        <v>79</v>
      </c>
      <c r="K21" t="s">
        <v>91</v>
      </c>
      <c r="L21" s="21">
        <v>0.433</v>
      </c>
      <c r="M21" t="s">
        <v>92</v>
      </c>
      <c r="N21" s="199" t="s">
        <v>108</v>
      </c>
    </row>
    <row r="22" spans="1:14" x14ac:dyDescent="0.2">
      <c r="A22" s="174"/>
      <c r="B22" s="295" t="s">
        <v>121</v>
      </c>
      <c r="C22" s="295" t="s">
        <v>73</v>
      </c>
      <c r="D22" s="175"/>
      <c r="E22" s="175"/>
      <c r="F22" s="175"/>
      <c r="G22" s="175"/>
      <c r="H22" s="176"/>
      <c r="J22" t="s">
        <v>75</v>
      </c>
      <c r="K22" t="s">
        <v>91</v>
      </c>
      <c r="L22" s="21">
        <v>4.7300000000000004</v>
      </c>
      <c r="M22" t="s">
        <v>92</v>
      </c>
      <c r="N22" t="s">
        <v>109</v>
      </c>
    </row>
    <row r="23" spans="1:14" x14ac:dyDescent="0.2">
      <c r="A23" s="177">
        <v>2020</v>
      </c>
      <c r="B23" s="296"/>
      <c r="C23" s="296"/>
      <c r="D23" s="180"/>
      <c r="E23" s="180"/>
      <c r="F23" s="180"/>
      <c r="G23" s="178" t="s">
        <v>124</v>
      </c>
      <c r="H23" s="179" t="s">
        <v>87</v>
      </c>
      <c r="J23" t="s">
        <v>96</v>
      </c>
      <c r="K23" t="s">
        <v>91</v>
      </c>
      <c r="L23">
        <f>0.1</f>
        <v>0.1</v>
      </c>
      <c r="M23" t="s">
        <v>92</v>
      </c>
      <c r="N23" t="s">
        <v>110</v>
      </c>
    </row>
    <row r="24" spans="1:14" x14ac:dyDescent="0.2">
      <c r="A24" s="190" t="s">
        <v>85</v>
      </c>
      <c r="B24" s="11">
        <v>130</v>
      </c>
      <c r="C24" s="147">
        <f>+((B24/$B$25)*'Indeks '!D187)*(H24/$H$25)</f>
        <v>222.22143399527175</v>
      </c>
      <c r="D24" s="147"/>
      <c r="E24" s="100"/>
      <c r="G24" s="191" t="s">
        <v>17</v>
      </c>
      <c r="H24" s="192">
        <v>70.16</v>
      </c>
      <c r="I24" s="228"/>
      <c r="J24" t="s">
        <v>98</v>
      </c>
      <c r="K24" t="s">
        <v>91</v>
      </c>
      <c r="L24" s="21">
        <f>0.25*SUM(L22:L23)</f>
        <v>1.2075</v>
      </c>
      <c r="M24" t="s">
        <v>92</v>
      </c>
      <c r="N24" t="s">
        <v>99</v>
      </c>
    </row>
    <row r="25" spans="1:14" x14ac:dyDescent="0.2">
      <c r="A25" s="193" t="s">
        <v>86</v>
      </c>
      <c r="B25" s="11">
        <v>130.4</v>
      </c>
      <c r="C25" s="147" t="s">
        <v>119</v>
      </c>
      <c r="D25" s="147"/>
      <c r="E25" s="147"/>
      <c r="G25" s="191" t="s">
        <v>18</v>
      </c>
      <c r="H25" s="192">
        <v>71.260000000000005</v>
      </c>
      <c r="I25" s="228"/>
      <c r="J25" t="s">
        <v>82</v>
      </c>
      <c r="K25" t="s">
        <v>91</v>
      </c>
      <c r="L25" s="21">
        <f>SUM(L19:L24)</f>
        <v>9.0594999999999999</v>
      </c>
    </row>
    <row r="26" spans="1:14" ht="15" x14ac:dyDescent="0.25">
      <c r="A26" s="190" t="s">
        <v>10</v>
      </c>
      <c r="B26">
        <v>133.1</v>
      </c>
      <c r="C26" s="147">
        <f>+((B26/$B$25)*'Indeks '!$D$187)*(H26/$H$25)</f>
        <v>229.59600460768391</v>
      </c>
      <c r="G26" s="234" t="s">
        <v>85</v>
      </c>
      <c r="H26" s="236">
        <v>70.8</v>
      </c>
      <c r="I26" s="235"/>
      <c r="J26" s="200" t="s">
        <v>100</v>
      </c>
      <c r="K26" t="s">
        <v>91</v>
      </c>
      <c r="L26" s="201">
        <f>L25</f>
        <v>9.0594999999999999</v>
      </c>
    </row>
    <row r="27" spans="1:14" x14ac:dyDescent="0.2">
      <c r="A27" s="193" t="s">
        <v>11</v>
      </c>
      <c r="B27" s="11">
        <v>129.5</v>
      </c>
      <c r="C27" s="147">
        <f>+((B27/$B$25)*'Indeks '!$D$187)*(H27/$H$25)</f>
        <v>223.0705280412694</v>
      </c>
      <c r="G27" s="191" t="s">
        <v>9</v>
      </c>
      <c r="H27" s="197">
        <v>70.7</v>
      </c>
      <c r="I27" s="229"/>
    </row>
    <row r="28" spans="1:14" x14ac:dyDescent="0.2">
      <c r="A28" s="190" t="s">
        <v>12</v>
      </c>
      <c r="B28" s="11">
        <v>116</v>
      </c>
      <c r="C28" s="147">
        <f>+((B28/$B$25)*'Indeks '!$D$187)*(H28/$H$25)</f>
        <v>194.19182842059405</v>
      </c>
      <c r="G28" s="191" t="s">
        <v>10</v>
      </c>
      <c r="H28" s="197">
        <v>68.709999999999994</v>
      </c>
      <c r="I28" s="228"/>
      <c r="L28" s="202">
        <f>+L11/L26-1</f>
        <v>0.41633437275787855</v>
      </c>
    </row>
    <row r="29" spans="1:14" x14ac:dyDescent="0.2">
      <c r="A29" s="193" t="s">
        <v>13</v>
      </c>
      <c r="B29" s="11">
        <v>111.9</v>
      </c>
      <c r="C29" s="147">
        <f>+((B29/$B$25)*'Indeks '!$D$187)*(H29/$H$25)</f>
        <v>186.94646141581245</v>
      </c>
      <c r="G29" s="238" t="s">
        <v>129</v>
      </c>
      <c r="H29" s="197">
        <v>68.569999999999993</v>
      </c>
    </row>
    <row r="30" spans="1:14" x14ac:dyDescent="0.2">
      <c r="A30" s="190" t="s">
        <v>30</v>
      </c>
      <c r="B30" s="11">
        <v>114.6</v>
      </c>
      <c r="C30" s="147">
        <f>+((B30/$B$25)*'Indeks '!$D$187)*(H30/$H$25)</f>
        <v>196.34348389807303</v>
      </c>
      <c r="G30" s="250" t="s">
        <v>59</v>
      </c>
      <c r="H30" s="197">
        <v>70.319999999999993</v>
      </c>
    </row>
    <row r="31" spans="1:14" x14ac:dyDescent="0.2">
      <c r="A31" s="190" t="s">
        <v>14</v>
      </c>
      <c r="B31" s="11">
        <v>116.4</v>
      </c>
      <c r="C31" s="147">
        <f>+((B31/$B$25)*'Indeks '!$D$187)*(H31/$H$25)</f>
        <v>201.52605183816627</v>
      </c>
      <c r="G31" s="251" t="s">
        <v>62</v>
      </c>
      <c r="H31" s="192">
        <v>71.06</v>
      </c>
    </row>
    <row r="32" spans="1:14" x14ac:dyDescent="0.2">
      <c r="A32" s="193" t="s">
        <v>15</v>
      </c>
      <c r="B32" s="11">
        <v>118.3</v>
      </c>
      <c r="C32" s="147">
        <f>+((B32/$B$25)*'Indeks '!$D$187)*(H32/$H$25)</f>
        <v>207.32315920787784</v>
      </c>
      <c r="G32" s="238" t="s">
        <v>61</v>
      </c>
      <c r="H32" s="192">
        <v>71.930000000000007</v>
      </c>
    </row>
    <row r="33" spans="1:16" x14ac:dyDescent="0.2">
      <c r="A33" s="193" t="s">
        <v>16</v>
      </c>
      <c r="B33" s="11">
        <v>118.1</v>
      </c>
      <c r="C33" s="147">
        <f>+((B33/$B$25)*'Indeks '!$D$187)*(H33/$H$25)</f>
        <v>207.83588044472069</v>
      </c>
      <c r="G33" s="191" t="s">
        <v>14</v>
      </c>
      <c r="H33" s="192">
        <v>72.23</v>
      </c>
      <c r="P33" s="120"/>
    </row>
    <row r="34" spans="1:16" x14ac:dyDescent="0.2">
      <c r="A34" s="193" t="s">
        <v>17</v>
      </c>
      <c r="B34" s="11">
        <v>121.8</v>
      </c>
      <c r="C34" s="147">
        <f>+((B34/$B$25)*'Indeks '!$D$187)*(H34/$H$25)</f>
        <v>211.79514385237502</v>
      </c>
      <c r="G34" s="191" t="s">
        <v>64</v>
      </c>
      <c r="H34" s="192">
        <v>71.37</v>
      </c>
      <c r="L34" s="120"/>
    </row>
    <row r="35" spans="1:16" x14ac:dyDescent="0.2">
      <c r="A35" s="194" t="s">
        <v>18</v>
      </c>
      <c r="B35" s="13">
        <v>121.7</v>
      </c>
      <c r="C35" s="246">
        <f>+((B35/$B$25)*'Indeks '!$D$187)*(H35/$H$25)</f>
        <v>212.27358459215282</v>
      </c>
      <c r="D35" s="13"/>
      <c r="E35" s="13"/>
      <c r="F35" s="13"/>
      <c r="G35" s="196" t="s">
        <v>65</v>
      </c>
      <c r="H35" s="195">
        <v>71.59</v>
      </c>
    </row>
    <row r="36" spans="1:16" x14ac:dyDescent="0.2">
      <c r="K36" s="120"/>
      <c r="L36" s="120"/>
      <c r="M36" s="11"/>
    </row>
    <row r="37" spans="1:16" x14ac:dyDescent="0.2">
      <c r="A37" s="174"/>
      <c r="B37" s="295" t="s">
        <v>121</v>
      </c>
      <c r="C37" s="295" t="s">
        <v>73</v>
      </c>
      <c r="D37" s="175"/>
      <c r="E37" s="175"/>
      <c r="F37" s="175"/>
      <c r="G37" s="175"/>
      <c r="H37" s="176"/>
      <c r="L37" s="98"/>
    </row>
    <row r="38" spans="1:16" x14ac:dyDescent="0.2">
      <c r="A38" s="177">
        <v>2021</v>
      </c>
      <c r="B38" s="296"/>
      <c r="C38" s="296"/>
      <c r="D38" s="180"/>
      <c r="E38" s="180"/>
      <c r="F38" s="180"/>
      <c r="G38" s="178" t="s">
        <v>124</v>
      </c>
      <c r="H38" s="179" t="s">
        <v>87</v>
      </c>
      <c r="K38" s="21"/>
      <c r="M38" s="11"/>
    </row>
    <row r="39" spans="1:16" x14ac:dyDescent="0.2">
      <c r="A39" s="190" t="s">
        <v>85</v>
      </c>
      <c r="B39" s="11">
        <v>135</v>
      </c>
      <c r="C39" s="147">
        <f>+((B39/$B$25)*'Indeks '!D187)*(H39/$H$25)</f>
        <v>239.38604677591263</v>
      </c>
      <c r="D39" s="147"/>
      <c r="E39" s="100"/>
      <c r="G39" s="191" t="s">
        <v>17</v>
      </c>
      <c r="H39" s="192">
        <v>72.78</v>
      </c>
      <c r="K39" s="266"/>
      <c r="M39" s="245"/>
    </row>
    <row r="40" spans="1:16" x14ac:dyDescent="0.2">
      <c r="A40" s="193" t="s">
        <v>86</v>
      </c>
      <c r="B40" s="11">
        <v>134.69999999999999</v>
      </c>
      <c r="C40" s="147">
        <f>+((B40/$B$25)*'Indeks '!D187)*(H40/$H$25)</f>
        <v>239.77299976410583</v>
      </c>
      <c r="D40" s="147"/>
      <c r="E40" s="147"/>
      <c r="G40" s="191" t="s">
        <v>18</v>
      </c>
      <c r="H40" s="192">
        <v>73.06</v>
      </c>
      <c r="K40" s="11"/>
    </row>
    <row r="41" spans="1:16" x14ac:dyDescent="0.2">
      <c r="A41" s="190" t="s">
        <v>10</v>
      </c>
      <c r="B41" s="11">
        <v>139</v>
      </c>
      <c r="C41" s="147">
        <f>+((B41/$B$25)*'Indeks '!$D$187)*(H41/$H$25)</f>
        <v>249.56080042151009</v>
      </c>
      <c r="G41" s="234" t="s">
        <v>85</v>
      </c>
      <c r="H41" s="236">
        <v>73.69</v>
      </c>
      <c r="K41" s="11"/>
    </row>
    <row r="42" spans="1:16" x14ac:dyDescent="0.2">
      <c r="A42" s="193" t="s">
        <v>11</v>
      </c>
      <c r="B42" s="11">
        <v>153.9</v>
      </c>
      <c r="C42" s="147">
        <f>+((B42/$B$25)*'Indeks '!$D$187)*(H42/$H$25)</f>
        <v>276.38727506116885</v>
      </c>
      <c r="G42" s="191" t="s">
        <v>9</v>
      </c>
      <c r="H42" s="197">
        <v>73.709999999999994</v>
      </c>
    </row>
    <row r="43" spans="1:16" x14ac:dyDescent="0.2">
      <c r="A43" s="190" t="s">
        <v>12</v>
      </c>
      <c r="B43" s="11">
        <v>161.30000000000001</v>
      </c>
      <c r="C43" s="147">
        <f>+((B43/$B$25)*'Indeks '!$D$187)*(H43/$H$25)</f>
        <v>287.39747877383263</v>
      </c>
      <c r="G43" s="191" t="s">
        <v>10</v>
      </c>
      <c r="H43" s="197">
        <v>73.13</v>
      </c>
    </row>
    <row r="44" spans="1:16" x14ac:dyDescent="0.2">
      <c r="A44" s="193" t="s">
        <v>13</v>
      </c>
      <c r="B44" s="11">
        <v>169.2</v>
      </c>
      <c r="C44" s="147">
        <f>+((B44/$B$25)*'Indeks '!$D$187)*(H44/$H$25)</f>
        <v>301.88560580884996</v>
      </c>
      <c r="G44" s="238" t="s">
        <v>129</v>
      </c>
      <c r="H44" s="197">
        <v>73.23</v>
      </c>
      <c r="L44" s="11"/>
    </row>
    <row r="45" spans="1:16" x14ac:dyDescent="0.2">
      <c r="A45" s="190" t="s">
        <v>30</v>
      </c>
      <c r="B45" s="11">
        <v>193.3</v>
      </c>
      <c r="C45" s="147">
        <f>+((B45/$B$25)*'Indeks '!$D$187)*(H45/$H$25)</f>
        <v>345.21435114477526</v>
      </c>
      <c r="G45" s="250" t="s">
        <v>59</v>
      </c>
      <c r="H45" s="197">
        <v>73.3</v>
      </c>
    </row>
    <row r="46" spans="1:16" x14ac:dyDescent="0.2">
      <c r="A46" s="190" t="s">
        <v>14</v>
      </c>
      <c r="B46" s="11">
        <v>194.7</v>
      </c>
      <c r="C46" s="147">
        <f>+((B46/$B$25)*'Indeks '!$D$187)*(H46/$H$25)</f>
        <v>348.71079129567858</v>
      </c>
      <c r="G46" s="251" t="s">
        <v>62</v>
      </c>
      <c r="H46" s="192">
        <v>73.510000000000005</v>
      </c>
    </row>
    <row r="47" spans="1:16" x14ac:dyDescent="0.2">
      <c r="A47" s="193" t="s">
        <v>15</v>
      </c>
      <c r="B47" s="11">
        <v>176.8</v>
      </c>
      <c r="C47" s="147">
        <f>+((B47/$B$25)*'Indeks '!$D$187)*(H47/$H$25)</f>
        <v>314.15319963703303</v>
      </c>
      <c r="G47" s="238" t="s">
        <v>61</v>
      </c>
      <c r="H47" s="192">
        <v>72.930000000000007</v>
      </c>
    </row>
    <row r="48" spans="1:16" x14ac:dyDescent="0.2">
      <c r="A48" s="193" t="s">
        <v>16</v>
      </c>
      <c r="B48" s="11">
        <v>189</v>
      </c>
      <c r="C48" s="147">
        <f>+((B48/$B$25)*'Indeks '!$D$187)*(H48/$H$25)</f>
        <v>335.23256234406449</v>
      </c>
      <c r="G48" s="191" t="s">
        <v>14</v>
      </c>
      <c r="H48" s="197">
        <v>72.8</v>
      </c>
    </row>
    <row r="49" spans="1:8" x14ac:dyDescent="0.2">
      <c r="A49" s="193" t="s">
        <v>17</v>
      </c>
      <c r="B49" s="11">
        <v>204.9</v>
      </c>
      <c r="C49" s="147">
        <f>+((B49/$B$25)*'Indeks '!$D$187)*(H49/$H$25)</f>
        <v>364.98225946977192</v>
      </c>
      <c r="G49" s="191" t="s">
        <v>64</v>
      </c>
      <c r="H49" s="192">
        <v>73.11</v>
      </c>
    </row>
    <row r="50" spans="1:8" x14ac:dyDescent="0.2">
      <c r="A50" s="194" t="s">
        <v>18</v>
      </c>
      <c r="B50" s="13">
        <v>223.7</v>
      </c>
      <c r="C50" s="246">
        <f>+((B50/$B$25)*'Indeks '!$D$187)*(H50/$H$25)</f>
        <v>403.2663872382995</v>
      </c>
      <c r="D50" s="13"/>
      <c r="E50" s="13"/>
      <c r="F50" s="13"/>
      <c r="G50" s="196" t="s">
        <v>65</v>
      </c>
      <c r="H50" s="195">
        <v>73.989999999999995</v>
      </c>
    </row>
    <row r="52" spans="1:8" x14ac:dyDescent="0.2">
      <c r="A52" s="174"/>
      <c r="B52" s="295" t="s">
        <v>121</v>
      </c>
      <c r="C52" s="295" t="s">
        <v>73</v>
      </c>
      <c r="D52" s="175"/>
      <c r="E52" s="175"/>
      <c r="F52" s="175"/>
      <c r="G52" s="175"/>
      <c r="H52" s="176"/>
    </row>
    <row r="53" spans="1:8" x14ac:dyDescent="0.2">
      <c r="A53" s="177">
        <v>2022</v>
      </c>
      <c r="B53" s="296"/>
      <c r="C53" s="296"/>
      <c r="D53" s="180"/>
      <c r="E53" s="180"/>
      <c r="F53" s="180"/>
      <c r="G53" s="178" t="s">
        <v>124</v>
      </c>
      <c r="H53" s="179" t="s">
        <v>87</v>
      </c>
    </row>
    <row r="54" spans="1:8" x14ac:dyDescent="0.2">
      <c r="A54" s="190" t="s">
        <v>85</v>
      </c>
      <c r="B54" s="11">
        <v>233.6</v>
      </c>
      <c r="C54" s="147">
        <f>+((B54/$B$25)*'Indeks '!D187)*(H54/$H$25)</f>
        <v>421.4547126310116</v>
      </c>
      <c r="D54" s="147"/>
      <c r="E54" s="100"/>
      <c r="G54" s="191" t="s">
        <v>17</v>
      </c>
      <c r="H54" s="197">
        <v>74.05</v>
      </c>
    </row>
    <row r="55" spans="1:8" x14ac:dyDescent="0.2">
      <c r="A55" s="193" t="s">
        <v>86</v>
      </c>
      <c r="B55" s="11">
        <v>242.3</v>
      </c>
      <c r="C55" s="147">
        <f>+((B55/$B$25)*'Indeks '!D187)*(H55/$H$25)</f>
        <v>427.41030943456008</v>
      </c>
      <c r="D55" s="147"/>
      <c r="E55" s="147"/>
      <c r="G55" s="191" t="s">
        <v>18</v>
      </c>
      <c r="H55" s="197">
        <v>72.400000000000006</v>
      </c>
    </row>
    <row r="56" spans="1:8" x14ac:dyDescent="0.2">
      <c r="A56" s="190" t="s">
        <v>10</v>
      </c>
      <c r="B56" s="11">
        <v>243.8</v>
      </c>
      <c r="C56" s="147">
        <f>+((B56/$B$25)*'Indeks '!$D$187)*(H56/$H$25)</f>
        <v>426.78926475070119</v>
      </c>
      <c r="G56" s="234" t="s">
        <v>85</v>
      </c>
      <c r="H56" s="236">
        <v>71.849999999999994</v>
      </c>
    </row>
    <row r="57" spans="1:8" x14ac:dyDescent="0.2">
      <c r="A57" s="193" t="s">
        <v>11</v>
      </c>
      <c r="B57" s="11">
        <v>237.4</v>
      </c>
      <c r="C57" s="147">
        <f>+((B57/$B$25)*'Indeks '!$D$187)*(H57/$H$25)</f>
        <v>408.58688118684023</v>
      </c>
      <c r="G57" s="191" t="s">
        <v>9</v>
      </c>
      <c r="H57" s="197">
        <v>70.64</v>
      </c>
    </row>
    <row r="58" spans="1:8" x14ac:dyDescent="0.2">
      <c r="A58" s="190" t="s">
        <v>12</v>
      </c>
      <c r="B58" s="11">
        <v>303.60000000000002</v>
      </c>
      <c r="C58" s="147">
        <f>+((B58/$B$25)*'Indeks '!$D$187)*(H58/$H$25)</f>
        <v>522.00528230673467</v>
      </c>
      <c r="G58" s="191" t="s">
        <v>10</v>
      </c>
      <c r="H58" s="197">
        <v>70.569999999999993</v>
      </c>
    </row>
    <row r="59" spans="1:8" x14ac:dyDescent="0.2">
      <c r="A59" s="193" t="s">
        <v>13</v>
      </c>
      <c r="B59" s="11">
        <v>316.3</v>
      </c>
      <c r="C59" s="147">
        <f>+((B59/$B$25)*'Indeks '!$D$187)*(H59/$H$25)</f>
        <v>555.63228150951568</v>
      </c>
      <c r="G59" s="238" t="s">
        <v>129</v>
      </c>
      <c r="H59" s="197">
        <v>72.099999999999994</v>
      </c>
    </row>
    <row r="60" spans="1:8" x14ac:dyDescent="0.2">
      <c r="A60" s="190" t="s">
        <v>30</v>
      </c>
      <c r="B60" s="11">
        <v>317.7</v>
      </c>
      <c r="C60" s="147">
        <f>+((B60/$B$25)*'Indeks '!$D$187)*(H60/$H$25)</f>
        <v>549.11260363414704</v>
      </c>
      <c r="G60" s="250" t="s">
        <v>59</v>
      </c>
      <c r="H60" s="197">
        <v>70.94</v>
      </c>
    </row>
    <row r="61" spans="1:8" x14ac:dyDescent="0.2">
      <c r="A61" s="190" t="s">
        <v>14</v>
      </c>
      <c r="B61" s="11">
        <v>297.10000000000002</v>
      </c>
      <c r="C61" s="147">
        <f>+((B61/$B$25)*'Indeks '!$D$187)*(H61/$H$25)</f>
        <v>507.71667409934071</v>
      </c>
      <c r="G61" s="251" t="s">
        <v>62</v>
      </c>
      <c r="H61" s="192">
        <v>70.14</v>
      </c>
    </row>
    <row r="62" spans="1:8" x14ac:dyDescent="0.2">
      <c r="A62" s="193" t="s">
        <v>15</v>
      </c>
      <c r="B62" s="11">
        <v>283.2</v>
      </c>
      <c r="C62" s="147">
        <f>+((B62/$B$25)*'Indeks '!$D$187)*(H62/$H$25)</f>
        <v>485.68783664417344</v>
      </c>
      <c r="G62" s="238" t="s">
        <v>61</v>
      </c>
      <c r="H62" s="192">
        <v>70.39</v>
      </c>
    </row>
    <row r="63" spans="1:8" x14ac:dyDescent="0.2">
      <c r="A63" s="193" t="s">
        <v>16</v>
      </c>
      <c r="B63" s="11">
        <v>248.6</v>
      </c>
      <c r="C63" s="147">
        <f>+((B63/$B$25)*'Indeks '!$D$187)*(H63/$H$25)</f>
        <v>429.07448503621913</v>
      </c>
      <c r="G63" s="191" t="s">
        <v>14</v>
      </c>
      <c r="H63" s="197">
        <v>70.84</v>
      </c>
    </row>
    <row r="64" spans="1:8" x14ac:dyDescent="0.2">
      <c r="A64" s="193" t="s">
        <v>17</v>
      </c>
      <c r="B64" s="11">
        <v>216.9</v>
      </c>
      <c r="C64" s="147">
        <f>+((B64/$B$25)*'Indeks '!$D$187)*(H64/$H$25)</f>
        <v>364.47923520366953</v>
      </c>
      <c r="G64" s="191" t="s">
        <v>64</v>
      </c>
      <c r="H64" s="192">
        <v>68.97</v>
      </c>
    </row>
    <row r="65" spans="1:8" x14ac:dyDescent="0.2">
      <c r="A65" s="194" t="s">
        <v>18</v>
      </c>
      <c r="B65" s="13">
        <v>224.7</v>
      </c>
      <c r="C65" s="246">
        <f>+((B65/$B$25)*'Indeks '!$D$187)*(H65/$H$25)</f>
        <v>371.94748634999451</v>
      </c>
      <c r="D65" s="13"/>
      <c r="E65" s="13"/>
      <c r="F65" s="13"/>
      <c r="G65" s="196" t="s">
        <v>65</v>
      </c>
      <c r="H65" s="195">
        <v>67.94</v>
      </c>
    </row>
    <row r="67" spans="1:8" x14ac:dyDescent="0.2">
      <c r="A67" s="174"/>
      <c r="B67" s="295" t="s">
        <v>121</v>
      </c>
      <c r="C67" s="295" t="s">
        <v>73</v>
      </c>
      <c r="D67" s="175"/>
      <c r="E67" s="175"/>
      <c r="F67" s="175"/>
      <c r="G67" s="175"/>
      <c r="H67" s="176"/>
    </row>
    <row r="68" spans="1:8" x14ac:dyDescent="0.2">
      <c r="A68" s="177">
        <v>2023</v>
      </c>
      <c r="B68" s="296"/>
      <c r="C68" s="296"/>
      <c r="D68" s="180"/>
      <c r="E68" s="180"/>
      <c r="F68" s="180"/>
      <c r="G68" s="178" t="s">
        <v>124</v>
      </c>
      <c r="H68" s="179" t="s">
        <v>87</v>
      </c>
    </row>
    <row r="69" spans="1:8" x14ac:dyDescent="0.2">
      <c r="A69" s="190" t="s">
        <v>85</v>
      </c>
      <c r="B69" s="11">
        <v>210</v>
      </c>
      <c r="C69" s="147">
        <f>+((B69/$B$25)*'Indeks '!$D$187)*(H69/$H$25)</f>
        <v>349.81456482697945</v>
      </c>
      <c r="D69" s="147"/>
      <c r="E69" s="100"/>
      <c r="G69" s="191" t="s">
        <v>17</v>
      </c>
      <c r="H69" s="197">
        <v>68.37</v>
      </c>
    </row>
    <row r="70" spans="1:8" x14ac:dyDescent="0.2">
      <c r="A70" s="193" t="s">
        <v>86</v>
      </c>
      <c r="B70" s="11">
        <v>184.8</v>
      </c>
      <c r="C70" s="147">
        <f>+((B70/$B$25)*'Indeks '!$D$187)*(H70/$H$25)</f>
        <v>304.86515843648675</v>
      </c>
      <c r="D70" s="147"/>
      <c r="E70" s="147"/>
      <c r="G70" s="191" t="s">
        <v>18</v>
      </c>
      <c r="H70" s="197">
        <v>67.709999999999994</v>
      </c>
    </row>
    <row r="71" spans="1:8" x14ac:dyDescent="0.2">
      <c r="A71" s="190" t="s">
        <v>10</v>
      </c>
      <c r="B71" s="11">
        <v>180.2</v>
      </c>
      <c r="C71" s="147">
        <f>+((B71/$B$25)*'Indeks '!$D$187)*(H71/$H$25)</f>
        <v>291.48114603224343</v>
      </c>
      <c r="G71" s="234" t="s">
        <v>85</v>
      </c>
      <c r="H71" s="236">
        <v>66.39</v>
      </c>
    </row>
    <row r="72" spans="1:8" x14ac:dyDescent="0.2">
      <c r="A72" s="193" t="s">
        <v>11</v>
      </c>
      <c r="B72" s="11">
        <v>177.3</v>
      </c>
      <c r="C72" s="147">
        <f>+((B72/$B$25)*'Indeks '!$D$187)*(H72/$H$25)</f>
        <v>287.17905328969005</v>
      </c>
      <c r="G72" s="191" t="s">
        <v>9</v>
      </c>
      <c r="H72" s="197">
        <v>66.48</v>
      </c>
    </row>
    <row r="73" spans="1:8" x14ac:dyDescent="0.2">
      <c r="A73" s="190" t="s">
        <v>12</v>
      </c>
      <c r="B73" s="11">
        <v>156.19999999999999</v>
      </c>
      <c r="C73" s="147">
        <f>+((B73/$B$25)*'Indeks '!$D$187)*(H73/$H$25)</f>
        <v>252.39372900413068</v>
      </c>
      <c r="G73" s="191" t="s">
        <v>10</v>
      </c>
      <c r="H73" s="197">
        <v>66.319999999999993</v>
      </c>
    </row>
    <row r="74" spans="1:8" x14ac:dyDescent="0.2">
      <c r="A74" s="193" t="s">
        <v>13</v>
      </c>
      <c r="B74" s="11">
        <v>150.19999999999999</v>
      </c>
      <c r="C74" s="147">
        <f>+((B74/$B$25)*'Indeks '!$D$187)*(H74/$H$25)</f>
        <v>240.61278666733241</v>
      </c>
      <c r="G74" s="238" t="s">
        <v>129</v>
      </c>
      <c r="H74" s="197">
        <v>65.75</v>
      </c>
    </row>
    <row r="75" spans="1:8" x14ac:dyDescent="0.2">
      <c r="A75" s="190" t="s">
        <v>30</v>
      </c>
      <c r="B75" s="11">
        <v>136.30000000000001</v>
      </c>
      <c r="C75" s="147">
        <f>+((B75/$B$25)*'Indeks '!$D$187)*(H75/$H$25)</f>
        <v>217.68152182709474</v>
      </c>
      <c r="G75" s="250" t="s">
        <v>59</v>
      </c>
      <c r="H75" s="197">
        <v>65.55</v>
      </c>
    </row>
    <row r="76" spans="1:8" x14ac:dyDescent="0.2">
      <c r="A76" s="190" t="s">
        <v>14</v>
      </c>
      <c r="B76" s="11">
        <v>151.19999999999999</v>
      </c>
      <c r="C76" s="147">
        <f>+((B76/$B$25)*'Indeks '!$D$187)*(H76/$H$25)</f>
        <v>234.99434232887771</v>
      </c>
      <c r="G76" s="251" t="s">
        <v>62</v>
      </c>
      <c r="H76" s="192">
        <v>63.79</v>
      </c>
    </row>
    <row r="77" spans="1:8" x14ac:dyDescent="0.2">
      <c r="A77" s="193" t="s">
        <v>15</v>
      </c>
      <c r="B77" s="11">
        <v>167.5</v>
      </c>
      <c r="C77" s="147">
        <f>+((B77/$B$25)*'Indeks '!$D$187)*(H77/$H$25)</f>
        <v>261.38879012137352</v>
      </c>
      <c r="G77" s="238" t="s">
        <v>61</v>
      </c>
      <c r="H77" s="192">
        <v>64.05</v>
      </c>
    </row>
    <row r="78" spans="1:8" x14ac:dyDescent="0.2">
      <c r="A78" s="193" t="s">
        <v>16</v>
      </c>
      <c r="B78" s="11">
        <v>163.5</v>
      </c>
      <c r="C78" s="147">
        <f>+((B78/$B$25)*'Indeks '!$D$187)*(H78/$H$25)</f>
        <v>251.3224573797844</v>
      </c>
      <c r="G78" s="191" t="s">
        <v>14</v>
      </c>
      <c r="H78" s="197">
        <v>63.09</v>
      </c>
    </row>
    <row r="79" spans="1:8" x14ac:dyDescent="0.2">
      <c r="A79" s="193" t="s">
        <v>17</v>
      </c>
      <c r="B79" s="11">
        <v>166.1</v>
      </c>
      <c r="C79" s="147">
        <f>+((B79/$B$25)*'Indeks '!$D$187)*(H79/$H$25)</f>
        <v>254.87386327438273</v>
      </c>
      <c r="G79" s="191" t="s">
        <v>64</v>
      </c>
      <c r="H79" s="192">
        <v>62.98</v>
      </c>
    </row>
    <row r="80" spans="1:8" x14ac:dyDescent="0.2">
      <c r="A80" s="194" t="s">
        <v>18</v>
      </c>
      <c r="B80" s="13">
        <v>177.2</v>
      </c>
      <c r="C80" s="246">
        <f>+((B80/$B$25)*'Indeks '!$D$187)*(H80/$H$25)</f>
        <v>276.56910544467763</v>
      </c>
      <c r="D80" s="13"/>
      <c r="E80" s="13"/>
      <c r="F80" s="13"/>
      <c r="G80" s="196" t="s">
        <v>65</v>
      </c>
      <c r="H80" s="195">
        <v>64.06</v>
      </c>
    </row>
    <row r="82" spans="1:8" x14ac:dyDescent="0.2">
      <c r="A82" s="174"/>
      <c r="B82" s="295" t="s">
        <v>121</v>
      </c>
      <c r="C82" s="295" t="s">
        <v>73</v>
      </c>
      <c r="D82" s="175"/>
      <c r="E82" s="175"/>
      <c r="F82" s="175"/>
      <c r="G82" s="175"/>
      <c r="H82" s="176"/>
    </row>
    <row r="83" spans="1:8" x14ac:dyDescent="0.2">
      <c r="A83" s="177">
        <v>2024</v>
      </c>
      <c r="B83" s="296"/>
      <c r="C83" s="296"/>
      <c r="D83" s="180"/>
      <c r="E83" s="180"/>
      <c r="F83" s="180"/>
      <c r="G83" s="178" t="s">
        <v>124</v>
      </c>
      <c r="H83" s="179" t="s">
        <v>87</v>
      </c>
    </row>
    <row r="84" spans="1:8" x14ac:dyDescent="0.2">
      <c r="A84" s="190" t="s">
        <v>85</v>
      </c>
      <c r="B84" s="11">
        <v>162.6</v>
      </c>
      <c r="C84" s="147">
        <f>+((B84/$B$25)*'Indeks '!$D$187)*(H84/$H$25)</f>
        <v>255.92108738586248</v>
      </c>
      <c r="D84" s="147"/>
      <c r="E84" s="100"/>
      <c r="G84" s="191" t="s">
        <v>17</v>
      </c>
      <c r="H84" s="197">
        <v>64.599999999999994</v>
      </c>
    </row>
    <row r="85" spans="1:8" x14ac:dyDescent="0.2">
      <c r="A85" s="193" t="s">
        <v>86</v>
      </c>
      <c r="B85" s="11">
        <v>148.19999999999999</v>
      </c>
      <c r="C85" s="147">
        <f>+((B85/$B$25)*'Indeks '!$D$187)*(H85/$H$25)</f>
        <v>240.33362111269705</v>
      </c>
      <c r="D85" s="147"/>
      <c r="E85" s="147"/>
      <c r="G85" s="191" t="s">
        <v>18</v>
      </c>
      <c r="H85" s="197">
        <v>66.56</v>
      </c>
    </row>
    <row r="86" spans="1:8" x14ac:dyDescent="0.2">
      <c r="A86" s="190" t="s">
        <v>10</v>
      </c>
      <c r="B86" s="11">
        <v>142.19999999999999</v>
      </c>
      <c r="C86" s="147">
        <f>+((B86/$B$25)*'Indeks '!$D$187)*(H86/$H$25)</f>
        <v>228.97515483780984</v>
      </c>
      <c r="G86" s="234" t="s">
        <v>85</v>
      </c>
      <c r="H86" s="236">
        <v>66.09</v>
      </c>
    </row>
    <row r="87" spans="1:8" x14ac:dyDescent="0.2">
      <c r="A87" s="193" t="s">
        <v>11</v>
      </c>
      <c r="B87" s="11">
        <v>143</v>
      </c>
      <c r="C87" s="147">
        <f>+((B87/$B$25)*'Indeks '!$D$187)*(H87/$H$25)</f>
        <v>230.89047710879885</v>
      </c>
      <c r="G87" s="191" t="s">
        <v>9</v>
      </c>
      <c r="H87" s="197">
        <v>66.27</v>
      </c>
    </row>
    <row r="88" spans="1:8" x14ac:dyDescent="0.2">
      <c r="A88" s="190" t="s">
        <v>12</v>
      </c>
      <c r="B88" s="11">
        <v>152.69999999999999</v>
      </c>
      <c r="C88" s="147">
        <f>+((B88/$B$25)*'Indeks '!$D$187)*(H88/$H$25)</f>
        <v>245.65937773882555</v>
      </c>
      <c r="G88" s="191" t="s">
        <v>10</v>
      </c>
      <c r="H88" s="197">
        <v>66.03</v>
      </c>
    </row>
    <row r="89" spans="1:8" x14ac:dyDescent="0.2">
      <c r="A89" s="193" t="s">
        <v>13</v>
      </c>
      <c r="B89" s="11"/>
      <c r="C89" s="147">
        <f>+((B89/$B$25)*'Indeks '!$D$187)*(H89/$H$25)</f>
        <v>0</v>
      </c>
      <c r="G89" s="238" t="s">
        <v>129</v>
      </c>
      <c r="H89" s="197"/>
    </row>
    <row r="90" spans="1:8" x14ac:dyDescent="0.2">
      <c r="A90" s="190" t="s">
        <v>30</v>
      </c>
      <c r="B90" s="11"/>
      <c r="C90" s="147">
        <f>+((B90/$B$25)*'Indeks '!$D$187)*(H90/$H$25)</f>
        <v>0</v>
      </c>
      <c r="G90" s="250" t="s">
        <v>59</v>
      </c>
      <c r="H90" s="197"/>
    </row>
    <row r="91" spans="1:8" x14ac:dyDescent="0.2">
      <c r="A91" s="190" t="s">
        <v>14</v>
      </c>
      <c r="B91" s="11"/>
      <c r="C91" s="147">
        <f>+((B91/$B$25)*'Indeks '!$D$187)*(H91/$H$25)</f>
        <v>0</v>
      </c>
      <c r="G91" s="251" t="s">
        <v>62</v>
      </c>
      <c r="H91" s="192"/>
    </row>
    <row r="92" spans="1:8" x14ac:dyDescent="0.2">
      <c r="A92" s="193" t="s">
        <v>15</v>
      </c>
      <c r="B92" s="11"/>
      <c r="C92" s="147">
        <f>+((B92/$B$25)*'Indeks '!$D$187)*(H92/$H$25)</f>
        <v>0</v>
      </c>
      <c r="G92" s="238" t="s">
        <v>61</v>
      </c>
      <c r="H92" s="192"/>
    </row>
    <row r="93" spans="1:8" x14ac:dyDescent="0.2">
      <c r="A93" s="193" t="s">
        <v>16</v>
      </c>
      <c r="B93" s="11"/>
      <c r="C93" s="147">
        <f>+((B93/$B$25)*'Indeks '!$D$187)*(H93/$H$25)</f>
        <v>0</v>
      </c>
      <c r="G93" s="191" t="s">
        <v>14</v>
      </c>
      <c r="H93" s="197"/>
    </row>
    <row r="94" spans="1:8" x14ac:dyDescent="0.2">
      <c r="A94" s="193" t="s">
        <v>17</v>
      </c>
      <c r="B94" s="11"/>
      <c r="C94" s="147">
        <f>+((B94/$B$25)*'Indeks '!$D$187)*(H94/$H$25)</f>
        <v>0</v>
      </c>
      <c r="G94" s="191" t="s">
        <v>64</v>
      </c>
      <c r="H94" s="192"/>
    </row>
    <row r="95" spans="1:8" x14ac:dyDescent="0.2">
      <c r="A95" s="194" t="s">
        <v>18</v>
      </c>
      <c r="B95" s="13"/>
      <c r="C95" s="246">
        <f>+((B95/$B$25)*'Indeks '!$D$187)*(H95/$H$25)</f>
        <v>0</v>
      </c>
      <c r="D95" s="13"/>
      <c r="E95" s="13"/>
      <c r="F95" s="13"/>
      <c r="G95" s="196" t="s">
        <v>65</v>
      </c>
      <c r="H95" s="195"/>
    </row>
  </sheetData>
  <mergeCells count="12">
    <mergeCell ref="B82:B83"/>
    <mergeCell ref="C82:C83"/>
    <mergeCell ref="A1:I1"/>
    <mergeCell ref="A16:G17"/>
    <mergeCell ref="B37:B38"/>
    <mergeCell ref="C37:C38"/>
    <mergeCell ref="B67:B68"/>
    <mergeCell ref="C67:C68"/>
    <mergeCell ref="B52:B53"/>
    <mergeCell ref="C52:C53"/>
    <mergeCell ref="B22:B23"/>
    <mergeCell ref="C22:C23"/>
  </mergeCells>
  <hyperlinks>
    <hyperlink ref="N6" r:id="rId1" xr:uid="{00000000-0004-0000-0500-000000000000}"/>
    <hyperlink ref="N5" r:id="rId2" xr:uid="{00000000-0004-0000-0500-000001000000}"/>
    <hyperlink ref="N21" r:id="rId3" xr:uid="{00000000-0004-0000-0500-000002000000}"/>
  </hyperlinks>
  <pageMargins left="0.70866141732283472" right="0.70866141732283472" top="0.74803149606299213" bottom="0.74803149606299213" header="0.31496062992125984" footer="0.31496062992125984"/>
  <pageSetup paperSize="9" scale="40" orientation="landscape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A789508219484695167F13D25D0A77" ma:contentTypeVersion="0" ma:contentTypeDescription="Create a new document." ma:contentTypeScope="" ma:versionID="ec3582515cb28a7ee64d476782cb370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CF708E-4585-4BE4-8A8C-14E68E5DDD8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4EF17BE-4D9A-4131-A7C2-8AFEED2B19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3B4A7A7-39AA-4B41-8245-F841E540A7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Navngivne områder</vt:lpstr>
      </vt:variant>
      <vt:variant>
        <vt:i4>11</vt:i4>
      </vt:variant>
    </vt:vector>
  </HeadingPairs>
  <TitlesOfParts>
    <vt:vector size="17" baseType="lpstr">
      <vt:lpstr>Indeks </vt:lpstr>
      <vt:lpstr>Reelle vægte</vt:lpstr>
      <vt:lpstr>Udvikling i indeks</vt:lpstr>
      <vt:lpstr>Kilder og dokumentation</vt:lpstr>
      <vt:lpstr>Note pris 10</vt:lpstr>
      <vt:lpstr>Beregning RME indeks</vt:lpstr>
      <vt:lpstr>'Indeks '!LønStigning2009</vt:lpstr>
      <vt:lpstr>'Indeks '!LønStigning2010</vt:lpstr>
      <vt:lpstr>'Indeks '!LønStigning2011</vt:lpstr>
      <vt:lpstr>'Indeks '!PrisStigning2009</vt:lpstr>
      <vt:lpstr>'Indeks '!Prisstigning2010</vt:lpstr>
      <vt:lpstr>'Indeks '!PrisStigning2011</vt:lpstr>
      <vt:lpstr>'Beregning RME indeks'!Udskriftsområde</vt:lpstr>
      <vt:lpstr>'Indeks '!Udskriftsområde</vt:lpstr>
      <vt:lpstr>'Kilder og dokumentation'!Udskriftsområde</vt:lpstr>
      <vt:lpstr>'Note pris 10'!Udskriftsområde</vt:lpstr>
      <vt:lpstr>'Indeks '!Udskriftstitler</vt:lpstr>
    </vt:vector>
  </TitlesOfParts>
  <Company>Danske Busvognmænd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Korshøj Nielsen</dc:creator>
  <cp:lastModifiedBy>Jacob Nissen Boldt</cp:lastModifiedBy>
  <cp:lastPrinted>2024-04-16T10:08:57Z</cp:lastPrinted>
  <dcterms:created xsi:type="dcterms:W3CDTF">2009-05-19T06:17:18Z</dcterms:created>
  <dcterms:modified xsi:type="dcterms:W3CDTF">2024-04-16T10:09:02Z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0x01010082A789508219484695167F13D25D0A77</vt:lpwstr>
  </property>
</Properties>
</file>