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"/>
    </mc:Choice>
  </mc:AlternateContent>
  <xr:revisionPtr revIDLastSave="0" documentId="13_ncr:1_{7049ED2C-5D11-4AC6-9665-84BA6ED42A9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indeks'!$A$1:$N$111</definedName>
    <definedName name="_xlnm.Print_Area" localSheetId="0">Indeks!$A$1:$J$252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1" i="1" l="1"/>
  <c r="E231" i="1"/>
  <c r="C233" i="1"/>
  <c r="C232" i="1"/>
  <c r="C231" i="1"/>
  <c r="C106" i="8"/>
  <c r="D230" i="1" s="1"/>
  <c r="F230" i="1"/>
  <c r="E230" i="1"/>
  <c r="F229" i="1"/>
  <c r="E229" i="1"/>
  <c r="F228" i="1"/>
  <c r="E228" i="1"/>
  <c r="C230" i="1"/>
  <c r="C229" i="1"/>
  <c r="C228" i="1"/>
  <c r="D228" i="1"/>
  <c r="F227" i="1"/>
  <c r="E227" i="1"/>
  <c r="E226" i="1"/>
  <c r="F226" i="1"/>
  <c r="F225" i="1"/>
  <c r="E225" i="1"/>
  <c r="C227" i="1"/>
  <c r="C226" i="1"/>
  <c r="C225" i="1"/>
  <c r="F224" i="1"/>
  <c r="E224" i="1"/>
  <c r="F223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F222" i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H230" i="1" l="1"/>
  <c r="H228" i="1"/>
  <c r="E204" i="1"/>
  <c r="C206" i="1"/>
  <c r="C205" i="1"/>
  <c r="C204" i="1"/>
  <c r="E203" i="1" l="1"/>
  <c r="E202" i="1"/>
  <c r="F201" i="1"/>
  <c r="E201" i="1"/>
  <c r="C203" i="1"/>
  <c r="C202" i="1"/>
  <c r="C201" i="1"/>
  <c r="E200" i="1"/>
  <c r="E199" i="1"/>
  <c r="F198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9" i="5"/>
  <c r="A210" i="5"/>
  <c r="A211" i="5"/>
  <c r="A212" i="5"/>
  <c r="A213" i="5" s="1"/>
  <c r="A214" i="5" s="1"/>
  <c r="A215" i="5" s="1"/>
  <c r="A216" i="5" s="1"/>
  <c r="A217" i="5" s="1"/>
  <c r="A218" i="5" s="1"/>
  <c r="A208" i="5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F196" i="1"/>
  <c r="E196" i="1"/>
  <c r="F195" i="1"/>
  <c r="F194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/>
  <c r="A198" i="5"/>
  <c r="A199" i="5"/>
  <c r="A200" i="5"/>
  <c r="A201" i="5"/>
  <c r="A202" i="5"/>
  <c r="A203" i="5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F185" i="1"/>
  <c r="E185" i="1"/>
  <c r="E184" i="1"/>
  <c r="F183" i="1"/>
  <c r="E183" i="1"/>
  <c r="C185" i="1"/>
  <c r="C183" i="1"/>
  <c r="F182" i="1"/>
  <c r="E182" i="1"/>
  <c r="E181" i="1"/>
  <c r="E180" i="1"/>
  <c r="C182" i="1"/>
  <c r="C181" i="1"/>
  <c r="C180" i="1"/>
  <c r="F179" i="1"/>
  <c r="E179" i="1"/>
  <c r="F178" i="1"/>
  <c r="E178" i="1"/>
  <c r="C178" i="1"/>
  <c r="C179" i="1"/>
  <c r="F177" i="1"/>
  <c r="E177" i="1"/>
  <c r="C177" i="1"/>
  <c r="F176" i="1"/>
  <c r="E176" i="1"/>
  <c r="F175" i="1"/>
  <c r="F199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F148" i="1"/>
  <c r="F149" i="1"/>
  <c r="F150" i="1"/>
  <c r="F151" i="1"/>
  <c r="F152" i="1"/>
  <c r="F153" i="1"/>
  <c r="F154" i="1"/>
  <c r="F155" i="1"/>
  <c r="F156" i="1"/>
  <c r="H156" i="1" s="1"/>
  <c r="G156" i="2" s="1"/>
  <c r="F157" i="1"/>
  <c r="H157" i="1" s="1"/>
  <c r="C156" i="5" s="1"/>
  <c r="F158" i="1"/>
  <c r="F159" i="1"/>
  <c r="F136" i="1"/>
  <c r="F137" i="1"/>
  <c r="F138" i="1"/>
  <c r="F139" i="1"/>
  <c r="F140" i="1"/>
  <c r="F141" i="1"/>
  <c r="F142" i="1"/>
  <c r="H142" i="1" s="1"/>
  <c r="F143" i="1"/>
  <c r="F144" i="1"/>
  <c r="F145" i="1"/>
  <c r="F146" i="1"/>
  <c r="F147" i="1"/>
  <c r="C125" i="1"/>
  <c r="H125" i="1" s="1"/>
  <c r="C125" i="2" s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H146" i="1"/>
  <c r="C145" i="5" s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C106" i="1"/>
  <c r="H106" i="1" s="1"/>
  <c r="C106" i="2" s="1"/>
  <c r="C107" i="1"/>
  <c r="H107" i="1"/>
  <c r="C108" i="1"/>
  <c r="H108" i="1"/>
  <c r="C107" i="5" s="1"/>
  <c r="C109" i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6" i="1"/>
  <c r="H116" i="1" s="1"/>
  <c r="D116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H127" i="1"/>
  <c r="E127" i="2" s="1"/>
  <c r="F129" i="1"/>
  <c r="F130" i="1"/>
  <c r="F131" i="1"/>
  <c r="H131" i="1" s="1"/>
  <c r="G131" i="2" s="1"/>
  <c r="F132" i="1"/>
  <c r="H132" i="1" s="1"/>
  <c r="D132" i="2" s="1"/>
  <c r="F133" i="1"/>
  <c r="H133" i="1" s="1"/>
  <c r="F134" i="1"/>
  <c r="H134" i="1" s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112" i="1"/>
  <c r="C111" i="5" s="1"/>
  <c r="C110" i="1"/>
  <c r="H110" i="1" s="1"/>
  <c r="F110" i="2" s="1"/>
  <c r="C111" i="1"/>
  <c r="H111" i="1" s="1"/>
  <c r="H7" i="6"/>
  <c r="C97" i="2"/>
  <c r="D68" i="2"/>
  <c r="E75" i="2"/>
  <c r="C119" i="1"/>
  <c r="H119" i="1" s="1"/>
  <c r="C114" i="1"/>
  <c r="H114" i="1" s="1"/>
  <c r="H118" i="1"/>
  <c r="G118" i="2" s="1"/>
  <c r="H105" i="1"/>
  <c r="E105" i="2" s="1"/>
  <c r="E19" i="2"/>
  <c r="C11" i="8"/>
  <c r="C13" i="8"/>
  <c r="I13" i="8"/>
  <c r="D163" i="1"/>
  <c r="F67" i="2"/>
  <c r="C67" i="2"/>
  <c r="F26" i="2"/>
  <c r="D74" i="2"/>
  <c r="C18" i="5"/>
  <c r="C67" i="5"/>
  <c r="I10" i="1"/>
  <c r="F23" i="2"/>
  <c r="C68" i="2"/>
  <c r="C106" i="5"/>
  <c r="C62" i="2"/>
  <c r="H155" i="1"/>
  <c r="F155" i="2" s="1"/>
  <c r="H9" i="8"/>
  <c r="C14" i="8"/>
  <c r="D13" i="8"/>
  <c r="C122" i="1"/>
  <c r="C123" i="1"/>
  <c r="H100" i="1"/>
  <c r="C100" i="2" s="1"/>
  <c r="E130" i="1"/>
  <c r="H104" i="1"/>
  <c r="C103" i="5" s="1"/>
  <c r="F193" i="1"/>
  <c r="F192" i="1"/>
  <c r="F191" i="1"/>
  <c r="F190" i="1"/>
  <c r="F189" i="1"/>
  <c r="F188" i="1"/>
  <c r="F187" i="1"/>
  <c r="F180" i="1"/>
  <c r="F181" i="1"/>
  <c r="F184" i="1"/>
  <c r="F186" i="1"/>
  <c r="D196" i="1"/>
  <c r="I32" i="1" l="1"/>
  <c r="D32" i="2"/>
  <c r="E67" i="2"/>
  <c r="E32" i="2"/>
  <c r="C96" i="5"/>
  <c r="D67" i="2"/>
  <c r="C54" i="5"/>
  <c r="E97" i="2"/>
  <c r="H97" i="2" s="1"/>
  <c r="E104" i="2"/>
  <c r="D97" i="2"/>
  <c r="C74" i="2"/>
  <c r="C150" i="1"/>
  <c r="H150" i="1" s="1"/>
  <c r="C149" i="1"/>
  <c r="H149" i="1" s="1"/>
  <c r="H144" i="1"/>
  <c r="H136" i="1"/>
  <c r="G136" i="2" s="1"/>
  <c r="C109" i="8"/>
  <c r="C101" i="8"/>
  <c r="D225" i="1" s="1"/>
  <c r="H225" i="1" s="1"/>
  <c r="C108" i="8"/>
  <c r="C107" i="8"/>
  <c r="D231" i="1" s="1"/>
  <c r="H231" i="1" s="1"/>
  <c r="C99" i="8"/>
  <c r="D223" i="1" s="1"/>
  <c r="H223" i="1" s="1"/>
  <c r="C98" i="8"/>
  <c r="D222" i="1" s="1"/>
  <c r="C105" i="8"/>
  <c r="D229" i="1" s="1"/>
  <c r="H229" i="1" s="1"/>
  <c r="C100" i="8"/>
  <c r="D224" i="1" s="1"/>
  <c r="H224" i="1" s="1"/>
  <c r="C104" i="8"/>
  <c r="C103" i="8"/>
  <c r="D227" i="1" s="1"/>
  <c r="H227" i="1" s="1"/>
  <c r="C88" i="8"/>
  <c r="D215" i="1" s="1"/>
  <c r="C102" i="8"/>
  <c r="D226" i="1" s="1"/>
  <c r="F96" i="2"/>
  <c r="G110" i="2"/>
  <c r="E47" i="2"/>
  <c r="C95" i="5"/>
  <c r="D95" i="5" s="1"/>
  <c r="D127" i="2"/>
  <c r="F47" i="2"/>
  <c r="C104" i="5"/>
  <c r="D104" i="5" s="1"/>
  <c r="C16" i="2"/>
  <c r="E96" i="2"/>
  <c r="G47" i="2"/>
  <c r="C25" i="8"/>
  <c r="D164" i="1" s="1"/>
  <c r="F97" i="2"/>
  <c r="C117" i="1"/>
  <c r="H117" i="1" s="1"/>
  <c r="D62" i="2"/>
  <c r="H103" i="1"/>
  <c r="C103" i="2" s="1"/>
  <c r="H143" i="1"/>
  <c r="C143" i="2" s="1"/>
  <c r="H159" i="1"/>
  <c r="H151" i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H140" i="1"/>
  <c r="H147" i="1"/>
  <c r="C146" i="5" s="1"/>
  <c r="D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D118" i="2"/>
  <c r="C121" i="2"/>
  <c r="F59" i="2"/>
  <c r="D21" i="2"/>
  <c r="C118" i="2"/>
  <c r="C155" i="5"/>
  <c r="D156" i="5" s="1"/>
  <c r="I22" i="1"/>
  <c r="E21" i="2"/>
  <c r="F51" i="2"/>
  <c r="F91" i="2"/>
  <c r="G127" i="2"/>
  <c r="F21" i="2"/>
  <c r="G14" i="2"/>
  <c r="D20" i="2"/>
  <c r="C20" i="5"/>
  <c r="I15" i="1"/>
  <c r="E110" i="2"/>
  <c r="E58" i="2"/>
  <c r="I56" i="1"/>
  <c r="D106" i="2"/>
  <c r="D58" i="2"/>
  <c r="E35" i="2"/>
  <c r="G116" i="2"/>
  <c r="G16" i="2"/>
  <c r="C109" i="5"/>
  <c r="D110" i="2"/>
  <c r="D14" i="2"/>
  <c r="E116" i="2"/>
  <c r="C21" i="2"/>
  <c r="F16" i="2"/>
  <c r="D43" i="2"/>
  <c r="F35" i="2"/>
  <c r="C13" i="5"/>
  <c r="F14" i="2"/>
  <c r="G20" i="2"/>
  <c r="D135" i="2"/>
  <c r="E135" i="2"/>
  <c r="F114" i="2"/>
  <c r="I78" i="1"/>
  <c r="C114" i="2"/>
  <c r="G112" i="2"/>
  <c r="C154" i="5"/>
  <c r="G33" i="2"/>
  <c r="G146" i="2"/>
  <c r="C89" i="2"/>
  <c r="C116" i="2"/>
  <c r="E112" i="2"/>
  <c r="D100" i="2"/>
  <c r="G155" i="2"/>
  <c r="E100" i="2"/>
  <c r="C155" i="2"/>
  <c r="C84" i="2"/>
  <c r="G36" i="2"/>
  <c r="E33" i="2"/>
  <c r="G68" i="2"/>
  <c r="H68" i="2" s="1"/>
  <c r="C146" i="2"/>
  <c r="F116" i="2"/>
  <c r="C43" i="5"/>
  <c r="E16" i="2"/>
  <c r="F112" i="2"/>
  <c r="D104" i="2"/>
  <c r="F68" i="2"/>
  <c r="G67" i="2"/>
  <c r="H67" i="2" s="1"/>
  <c r="C110" i="2"/>
  <c r="E121" i="2"/>
  <c r="D105" i="2"/>
  <c r="I77" i="1"/>
  <c r="C34" i="2"/>
  <c r="E153" i="2"/>
  <c r="G153" i="2"/>
  <c r="C41" i="5"/>
  <c r="E57" i="2"/>
  <c r="E89" i="2"/>
  <c r="F104" i="2"/>
  <c r="C113" i="2"/>
  <c r="E82" i="2"/>
  <c r="E114" i="2"/>
  <c r="D156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E132" i="2"/>
  <c r="D57" i="2"/>
  <c r="C19" i="2"/>
  <c r="C28" i="2"/>
  <c r="G89" i="2"/>
  <c r="E50" i="2"/>
  <c r="E115" i="2"/>
  <c r="C91" i="2"/>
  <c r="C132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C131" i="5"/>
  <c r="D98" i="2"/>
  <c r="D91" i="2"/>
  <c r="C144" i="5"/>
  <c r="D145" i="5" s="1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79" i="1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C59" i="2"/>
  <c r="G43" i="2"/>
  <c r="I18" i="1"/>
  <c r="E157" i="2"/>
  <c r="D85" i="2"/>
  <c r="C18" i="2"/>
  <c r="E39" i="2"/>
  <c r="D39" i="2"/>
  <c r="C52" i="5"/>
  <c r="I80" i="1"/>
  <c r="G114" i="2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D144" i="2"/>
  <c r="G144" i="2"/>
  <c r="E144" i="2"/>
  <c r="C144" i="2"/>
  <c r="C143" i="5"/>
  <c r="F144" i="2"/>
  <c r="G126" i="2"/>
  <c r="D126" i="2"/>
  <c r="C105" i="5"/>
  <c r="G51" i="2"/>
  <c r="G105" i="2"/>
  <c r="D72" i="2"/>
  <c r="E65" i="2"/>
  <c r="D65" i="2"/>
  <c r="D51" i="2"/>
  <c r="G11" i="2"/>
  <c r="E147" i="2"/>
  <c r="E156" i="2"/>
  <c r="C71" i="5"/>
  <c r="E63" i="2"/>
  <c r="F57" i="2"/>
  <c r="C112" i="5"/>
  <c r="D112" i="5" s="1"/>
  <c r="C11" i="2"/>
  <c r="F106" i="2"/>
  <c r="F153" i="2"/>
  <c r="D125" i="2"/>
  <c r="G113" i="2"/>
  <c r="I12" i="1"/>
  <c r="H122" i="1"/>
  <c r="C122" i="2" s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C124" i="5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D153" i="2"/>
  <c r="E125" i="2"/>
  <c r="C58" i="2"/>
  <c r="C62" i="5"/>
  <c r="D62" i="5" s="1"/>
  <c r="E43" i="2"/>
  <c r="I44" i="1"/>
  <c r="F10" i="2"/>
  <c r="D76" i="2"/>
  <c r="E92" i="2"/>
  <c r="G64" i="2"/>
  <c r="G79" i="2"/>
  <c r="E72" i="2"/>
  <c r="I76" i="1"/>
  <c r="C36" i="2"/>
  <c r="E79" i="2"/>
  <c r="G37" i="2"/>
  <c r="F58" i="2"/>
  <c r="I14" i="1"/>
  <c r="C10" i="5"/>
  <c r="G132" i="2"/>
  <c r="D36" i="2"/>
  <c r="D10" i="2"/>
  <c r="E10" i="2"/>
  <c r="G104" i="2"/>
  <c r="G125" i="2"/>
  <c r="F156" i="2"/>
  <c r="F125" i="2"/>
  <c r="I58" i="1"/>
  <c r="C42" i="5"/>
  <c r="D42" i="5" s="1"/>
  <c r="C150" i="5"/>
  <c r="D23" i="2"/>
  <c r="C56" i="2"/>
  <c r="C9" i="5"/>
  <c r="C76" i="2"/>
  <c r="E143" i="2"/>
  <c r="C81" i="2"/>
  <c r="F38" i="2"/>
  <c r="C132" i="5"/>
  <c r="G133" i="2"/>
  <c r="C133" i="2"/>
  <c r="F133" i="2"/>
  <c r="D133" i="2"/>
  <c r="E133" i="2"/>
  <c r="C158" i="5"/>
  <c r="G159" i="2"/>
  <c r="I92" i="1"/>
  <c r="F80" i="2"/>
  <c r="D80" i="2"/>
  <c r="C80" i="2"/>
  <c r="E80" i="2"/>
  <c r="C79" i="5"/>
  <c r="D79" i="5" s="1"/>
  <c r="G80" i="2"/>
  <c r="C142" i="2"/>
  <c r="D142" i="2"/>
  <c r="G142" i="2"/>
  <c r="C141" i="5"/>
  <c r="D142" i="5" s="1"/>
  <c r="F142" i="2"/>
  <c r="E142" i="2"/>
  <c r="G90" i="2"/>
  <c r="D90" i="2"/>
  <c r="D131" i="2"/>
  <c r="E134" i="2"/>
  <c r="C42" i="2"/>
  <c r="E151" i="2"/>
  <c r="D109" i="2"/>
  <c r="G82" i="2"/>
  <c r="E118" i="2"/>
  <c r="D54" i="2"/>
  <c r="E131" i="2"/>
  <c r="C17" i="2"/>
  <c r="I90" i="1"/>
  <c r="E77" i="2"/>
  <c r="I62" i="1"/>
  <c r="C72" i="5"/>
  <c r="G73" i="2"/>
  <c r="D114" i="2"/>
  <c r="F119" i="2"/>
  <c r="C95" i="2"/>
  <c r="C30" i="2"/>
  <c r="D95" i="2"/>
  <c r="D146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F118" i="2"/>
  <c r="E146" i="2"/>
  <c r="D30" i="2"/>
  <c r="C49" i="2"/>
  <c r="G66" i="2"/>
  <c r="C60" i="5"/>
  <c r="D61" i="5" s="1"/>
  <c r="D25" i="2"/>
  <c r="E48" i="2"/>
  <c r="F131" i="2"/>
  <c r="D119" i="2"/>
  <c r="C117" i="5"/>
  <c r="C53" i="5"/>
  <c r="G121" i="2"/>
  <c r="G42" i="2"/>
  <c r="F88" i="2"/>
  <c r="C59" i="5"/>
  <c r="C73" i="5"/>
  <c r="C120" i="5"/>
  <c r="C82" i="2"/>
  <c r="G88" i="2"/>
  <c r="C113" i="5"/>
  <c r="I84" i="1"/>
  <c r="D38" i="2"/>
  <c r="I49" i="1"/>
  <c r="G94" i="2"/>
  <c r="I83" i="1"/>
  <c r="I50" i="1"/>
  <c r="C25" i="2"/>
  <c r="C47" i="5"/>
  <c r="I54" i="1"/>
  <c r="D60" i="2"/>
  <c r="F61" i="2"/>
  <c r="F73" i="2"/>
  <c r="E93" i="2"/>
  <c r="F146" i="2"/>
  <c r="C47" i="2"/>
  <c r="F54" i="2"/>
  <c r="G49" i="2"/>
  <c r="F66" i="2"/>
  <c r="D112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C112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E138" i="2"/>
  <c r="I30" i="1"/>
  <c r="F109" i="2"/>
  <c r="G143" i="2"/>
  <c r="C12" i="5"/>
  <c r="D13" i="5" s="1"/>
  <c r="G13" i="2"/>
  <c r="C28" i="5"/>
  <c r="C77" i="2"/>
  <c r="D13" i="2"/>
  <c r="I24" i="1"/>
  <c r="D49" i="2"/>
  <c r="G95" i="2"/>
  <c r="G12" i="2"/>
  <c r="F149" i="2"/>
  <c r="E149" i="2"/>
  <c r="G149" i="2"/>
  <c r="D149" i="2"/>
  <c r="C148" i="5"/>
  <c r="C116" i="5"/>
  <c r="I81" i="1"/>
  <c r="I82" i="1"/>
  <c r="C117" i="2"/>
  <c r="E117" i="2"/>
  <c r="F117" i="2"/>
  <c r="G117" i="2"/>
  <c r="D117" i="2"/>
  <c r="G150" i="2"/>
  <c r="C149" i="5"/>
  <c r="F150" i="2"/>
  <c r="E150" i="2"/>
  <c r="D150" i="2"/>
  <c r="C150" i="2"/>
  <c r="F154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C159" i="2"/>
  <c r="E155" i="2"/>
  <c r="F159" i="2"/>
  <c r="D155" i="2"/>
  <c r="E145" i="2"/>
  <c r="E27" i="2"/>
  <c r="E111" i="2"/>
  <c r="C107" i="2"/>
  <c r="F71" i="2"/>
  <c r="C23" i="2"/>
  <c r="G81" i="2"/>
  <c r="G50" i="2"/>
  <c r="D83" i="2"/>
  <c r="E22" i="2"/>
  <c r="C157" i="5"/>
  <c r="D157" i="5" s="1"/>
  <c r="C158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D64" i="5" s="1"/>
  <c r="F65" i="2"/>
  <c r="C65" i="2"/>
  <c r="C14" i="5"/>
  <c r="D14" i="5" s="1"/>
  <c r="E15" i="2"/>
  <c r="F15" i="2"/>
  <c r="D15" i="2"/>
  <c r="I16" i="1"/>
  <c r="E137" i="1"/>
  <c r="D159" i="2"/>
  <c r="C149" i="2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E159" i="2"/>
  <c r="C27" i="2"/>
  <c r="G27" i="2"/>
  <c r="D27" i="2"/>
  <c r="C135" i="2"/>
  <c r="C145" i="2"/>
  <c r="I27" i="1"/>
  <c r="C83" i="2"/>
  <c r="I36" i="1"/>
  <c r="G35" i="2"/>
  <c r="C142" i="5"/>
  <c r="D143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C140" i="5"/>
  <c r="G151" i="2"/>
  <c r="F151" i="2"/>
  <c r="F111" i="2"/>
  <c r="G31" i="2"/>
  <c r="C31" i="2"/>
  <c r="C30" i="5"/>
  <c r="D31" i="2"/>
  <c r="I31" i="1"/>
  <c r="E31" i="2"/>
  <c r="C134" i="2"/>
  <c r="F135" i="2"/>
  <c r="F143" i="2"/>
  <c r="F132" i="2"/>
  <c r="G145" i="2"/>
  <c r="G40" i="2"/>
  <c r="C34" i="5"/>
  <c r="I28" i="1"/>
  <c r="G101" i="2"/>
  <c r="D101" i="2"/>
  <c r="C100" i="5"/>
  <c r="D100" i="5" s="1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145" i="2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156" i="2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D144" i="5"/>
  <c r="D126" i="5"/>
  <c r="J9" i="8"/>
  <c r="H127" i="2"/>
  <c r="D78" i="5"/>
  <c r="I9" i="8"/>
  <c r="D67" i="5"/>
  <c r="D97" i="5"/>
  <c r="D107" i="5"/>
  <c r="G138" i="2" l="1"/>
  <c r="H47" i="2"/>
  <c r="D54" i="5"/>
  <c r="C153" i="2"/>
  <c r="H69" i="2"/>
  <c r="C135" i="5"/>
  <c r="F136" i="2"/>
  <c r="D127" i="5"/>
  <c r="F158" i="2"/>
  <c r="F147" i="2"/>
  <c r="D96" i="5"/>
  <c r="C153" i="5"/>
  <c r="E154" i="2"/>
  <c r="G123" i="2"/>
  <c r="D136" i="2"/>
  <c r="H136" i="2" s="1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H110" i="2"/>
  <c r="D110" i="5"/>
  <c r="D43" i="5"/>
  <c r="H64" i="2"/>
  <c r="D103" i="2"/>
  <c r="H19" i="2"/>
  <c r="H116" i="2"/>
  <c r="D20" i="5"/>
  <c r="D89" i="5"/>
  <c r="D88" i="5"/>
  <c r="D33" i="5"/>
  <c r="D155" i="5"/>
  <c r="E140" i="2"/>
  <c r="C140" i="2"/>
  <c r="H140" i="2" s="1"/>
  <c r="G140" i="2"/>
  <c r="C139" i="5"/>
  <c r="F140" i="2"/>
  <c r="D140" i="2"/>
  <c r="D109" i="5"/>
  <c r="C102" i="5"/>
  <c r="D103" i="5" s="1"/>
  <c r="H14" i="2"/>
  <c r="G141" i="2"/>
  <c r="D141" i="2"/>
  <c r="E141" i="2"/>
  <c r="C141" i="2"/>
  <c r="F141" i="2"/>
  <c r="C151" i="2"/>
  <c r="D151" i="2"/>
  <c r="D113" i="5"/>
  <c r="H121" i="2"/>
  <c r="F138" i="2"/>
  <c r="G154" i="2"/>
  <c r="C138" i="2"/>
  <c r="D118" i="5"/>
  <c r="D34" i="5"/>
  <c r="C154" i="2"/>
  <c r="D138" i="2"/>
  <c r="H21" i="2"/>
  <c r="C123" i="2"/>
  <c r="H57" i="2"/>
  <c r="H32" i="2"/>
  <c r="H153" i="2"/>
  <c r="D153" i="5"/>
  <c r="D27" i="5"/>
  <c r="D115" i="5"/>
  <c r="H40" i="2"/>
  <c r="D84" i="5"/>
  <c r="D132" i="5"/>
  <c r="D21" i="5"/>
  <c r="E92" i="5"/>
  <c r="H17" i="2"/>
  <c r="D45" i="5"/>
  <c r="C129" i="5"/>
  <c r="D130" i="5" s="1"/>
  <c r="E68" i="5"/>
  <c r="H128" i="2"/>
  <c r="H26" i="2"/>
  <c r="D131" i="5"/>
  <c r="H91" i="2"/>
  <c r="H89" i="2"/>
  <c r="H16" i="2"/>
  <c r="H33" i="2"/>
  <c r="D143" i="5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114" i="2"/>
  <c r="H53" i="2"/>
  <c r="D91" i="5"/>
  <c r="C122" i="5"/>
  <c r="H44" i="2"/>
  <c r="D74" i="5"/>
  <c r="H12" i="2"/>
  <c r="H118" i="2"/>
  <c r="H105" i="2"/>
  <c r="D65" i="5"/>
  <c r="D55" i="5"/>
  <c r="D130" i="2"/>
  <c r="D123" i="2"/>
  <c r="H20" i="2"/>
  <c r="E146" i="5"/>
  <c r="D90" i="5"/>
  <c r="H92" i="2"/>
  <c r="D39" i="5"/>
  <c r="I88" i="1"/>
  <c r="G122" i="2"/>
  <c r="H100" i="2"/>
  <c r="H65" i="2"/>
  <c r="H155" i="2"/>
  <c r="D154" i="5"/>
  <c r="H98" i="2"/>
  <c r="H113" i="2"/>
  <c r="H10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112" i="2"/>
  <c r="H48" i="2"/>
  <c r="H119" i="2"/>
  <c r="H106" i="2"/>
  <c r="E14" i="5"/>
  <c r="H72" i="2"/>
  <c r="H11" i="2"/>
  <c r="H147" i="2"/>
  <c r="H144" i="2"/>
  <c r="E110" i="5"/>
  <c r="H84" i="2"/>
  <c r="H132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H142" i="2"/>
  <c r="D125" i="5"/>
  <c r="H125" i="2"/>
  <c r="H145" i="2"/>
  <c r="D93" i="5"/>
  <c r="E129" i="2"/>
  <c r="C130" i="2"/>
  <c r="G99" i="2"/>
  <c r="D38" i="5"/>
  <c r="H13" i="2"/>
  <c r="H52" i="2"/>
  <c r="H90" i="2"/>
  <c r="H23" i="2"/>
  <c r="F129" i="2"/>
  <c r="G130" i="2"/>
  <c r="H117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H156" i="2"/>
  <c r="D133" i="5"/>
  <c r="C121" i="5"/>
  <c r="F122" i="5" s="1"/>
  <c r="D11" i="5"/>
  <c r="D75" i="5"/>
  <c r="D12" i="5"/>
  <c r="D106" i="5"/>
  <c r="D83" i="5"/>
  <c r="D111" i="5"/>
  <c r="H76" i="2"/>
  <c r="I87" i="1"/>
  <c r="C128" i="5"/>
  <c r="D129" i="5" s="1"/>
  <c r="I86" i="1"/>
  <c r="E41" i="5"/>
  <c r="E65" i="5"/>
  <c r="D73" i="5"/>
  <c r="H82" i="2"/>
  <c r="H80" i="2"/>
  <c r="D158" i="5"/>
  <c r="H27" i="2"/>
  <c r="H18" i="2"/>
  <c r="D40" i="5"/>
  <c r="H79" i="2"/>
  <c r="H24" i="2"/>
  <c r="E80" i="5"/>
  <c r="D114" i="5"/>
  <c r="H55" i="2"/>
  <c r="H71" i="2"/>
  <c r="E158" i="5"/>
  <c r="D120" i="5"/>
  <c r="D72" i="5"/>
  <c r="D25" i="5"/>
  <c r="E29" i="5"/>
  <c r="D41" i="5"/>
  <c r="E56" i="5"/>
  <c r="E35" i="5"/>
  <c r="D28" i="5"/>
  <c r="F20" i="5"/>
  <c r="D101" i="5"/>
  <c r="E53" i="5"/>
  <c r="H154" i="2"/>
  <c r="H126" i="2"/>
  <c r="H35" i="2"/>
  <c r="D129" i="2"/>
  <c r="D18" i="5"/>
  <c r="D117" i="5"/>
  <c r="F62" i="5"/>
  <c r="H143" i="2"/>
  <c r="H15" i="2"/>
  <c r="D77" i="5"/>
  <c r="H109" i="2"/>
  <c r="H102" i="2"/>
  <c r="D135" i="5"/>
  <c r="E32" i="5"/>
  <c r="H46" i="2"/>
  <c r="E59" i="5"/>
  <c r="H66" i="2"/>
  <c r="H54" i="2"/>
  <c r="H30" i="2"/>
  <c r="H42" i="2"/>
  <c r="E113" i="5"/>
  <c r="F44" i="5"/>
  <c r="F68" i="5"/>
  <c r="G50" i="5"/>
  <c r="E74" i="5"/>
  <c r="E47" i="5"/>
  <c r="E134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H146" i="2"/>
  <c r="D210" i="1"/>
  <c r="D139" i="2"/>
  <c r="C138" i="5"/>
  <c r="E143" i="5" s="1"/>
  <c r="E139" i="2"/>
  <c r="G139" i="2"/>
  <c r="C139" i="2"/>
  <c r="D50" i="5"/>
  <c r="H137" i="1"/>
  <c r="E137" i="2" s="1"/>
  <c r="D94" i="5"/>
  <c r="D149" i="5"/>
  <c r="E116" i="5"/>
  <c r="D116" i="5"/>
  <c r="H101" i="2"/>
  <c r="E119" i="5"/>
  <c r="F56" i="5"/>
  <c r="E23" i="5"/>
  <c r="E44" i="5"/>
  <c r="D35" i="5"/>
  <c r="H83" i="2"/>
  <c r="D80" i="5"/>
  <c r="D81" i="5"/>
  <c r="H158" i="2"/>
  <c r="D49" i="5"/>
  <c r="G62" i="5"/>
  <c r="D70" i="5"/>
  <c r="D71" i="5"/>
  <c r="E26" i="5"/>
  <c r="F80" i="5"/>
  <c r="E38" i="5"/>
  <c r="E83" i="5"/>
  <c r="H150" i="2"/>
  <c r="F116" i="5"/>
  <c r="F32" i="5"/>
  <c r="G38" i="5"/>
  <c r="D150" i="5"/>
  <c r="D22" i="5"/>
  <c r="D37" i="5"/>
  <c r="G74" i="5"/>
  <c r="C148" i="2"/>
  <c r="G148" i="2"/>
  <c r="E148" i="2"/>
  <c r="C147" i="5"/>
  <c r="D148" i="5" s="1"/>
  <c r="D148" i="2"/>
  <c r="D92" i="5"/>
  <c r="D31" i="5"/>
  <c r="D30" i="5"/>
  <c r="D140" i="5"/>
  <c r="D141" i="5"/>
  <c r="H107" i="2"/>
  <c r="C124" i="2"/>
  <c r="D124" i="2"/>
  <c r="E124" i="2"/>
  <c r="G124" i="2"/>
  <c r="C123" i="5"/>
  <c r="H149" i="2"/>
  <c r="F139" i="2"/>
  <c r="H31" i="2"/>
  <c r="E87" i="2"/>
  <c r="C86" i="5"/>
  <c r="I99" i="1"/>
  <c r="G87" i="2"/>
  <c r="D87" i="2"/>
  <c r="F87" i="2"/>
  <c r="H159" i="2"/>
  <c r="F124" i="2"/>
  <c r="E6" i="4"/>
  <c r="D161" i="2"/>
  <c r="C160" i="1"/>
  <c r="F160" i="1"/>
  <c r="G160" i="1"/>
  <c r="E160" i="1"/>
  <c r="C160" i="5"/>
  <c r="M13" i="8"/>
  <c r="H151" i="2" l="1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C234" i="1" l="1"/>
  <c r="C236" i="1"/>
  <c r="C235" i="1"/>
  <c r="H210" i="2"/>
  <c r="C210" i="5"/>
  <c r="C211" i="2"/>
  <c r="D211" i="2"/>
  <c r="G211" i="2"/>
  <c r="D209" i="5"/>
  <c r="E209" i="5"/>
  <c r="E211" i="2"/>
  <c r="C237" i="1" l="1"/>
  <c r="C239" i="1"/>
  <c r="C238" i="1"/>
  <c r="H211" i="2"/>
  <c r="D210" i="5"/>
  <c r="C211" i="5"/>
  <c r="C212" i="2"/>
  <c r="D212" i="2"/>
  <c r="G212" i="2"/>
  <c r="F212" i="2"/>
  <c r="H215" i="1"/>
  <c r="F213" i="2" s="1"/>
  <c r="E212" i="2"/>
  <c r="C240" i="1" l="1"/>
  <c r="C243" i="1" s="1"/>
  <c r="C242" i="1"/>
  <c r="C241" i="1"/>
  <c r="H212" i="2"/>
  <c r="D211" i="5"/>
  <c r="F214" i="2"/>
  <c r="C212" i="5"/>
  <c r="C213" i="2"/>
  <c r="G213" i="2"/>
  <c r="D213" i="2"/>
  <c r="E213" i="2"/>
  <c r="C244" i="1" l="1"/>
  <c r="C245" i="1"/>
  <c r="H213" i="2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H215" i="2" l="1"/>
  <c r="C215" i="5"/>
  <c r="C216" i="2"/>
  <c r="D216" i="2"/>
  <c r="G216" i="2"/>
  <c r="E216" i="2"/>
  <c r="C216" i="5" l="1"/>
  <c r="C217" i="2"/>
  <c r="G217" i="2"/>
  <c r="D217" i="2"/>
  <c r="E217" i="2"/>
  <c r="E218" i="2"/>
  <c r="H216" i="2"/>
  <c r="D215" i="5"/>
  <c r="F217" i="2"/>
  <c r="E215" i="5"/>
  <c r="H222" i="1" l="1"/>
  <c r="C219" i="5" s="1"/>
  <c r="C217" i="5"/>
  <c r="C218" i="2"/>
  <c r="D218" i="2"/>
  <c r="G218" i="2"/>
  <c r="F218" i="2"/>
  <c r="H217" i="2"/>
  <c r="E219" i="2"/>
  <c r="D216" i="5"/>
  <c r="C220" i="2" l="1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D220" i="5" l="1"/>
  <c r="D219" i="5"/>
  <c r="C221" i="2"/>
  <c r="D221" i="2"/>
  <c r="G221" i="2"/>
  <c r="H220" i="2"/>
  <c r="F221" i="2"/>
  <c r="E221" i="2"/>
  <c r="H219" i="2"/>
  <c r="D218" i="5"/>
  <c r="G218" i="5"/>
  <c r="E218" i="5"/>
  <c r="H218" i="5"/>
  <c r="E222" i="2" l="1"/>
  <c r="C221" i="5"/>
  <c r="C222" i="2"/>
  <c r="D222" i="2"/>
  <c r="G222" i="2"/>
  <c r="H221" i="2"/>
  <c r="F222" i="2"/>
  <c r="C222" i="5"/>
  <c r="H222" i="2" l="1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G232" i="1"/>
  <c r="H225" i="2"/>
  <c r="D232" i="1"/>
  <c r="C226" i="5"/>
  <c r="D226" i="5" l="1"/>
  <c r="H226" i="2"/>
  <c r="D225" i="5"/>
  <c r="C227" i="2"/>
  <c r="G227" i="2"/>
  <c r="D227" i="2"/>
  <c r="F227" i="2"/>
  <c r="G233" i="1"/>
  <c r="G234" i="1" s="1"/>
  <c r="E227" i="2"/>
  <c r="C227" i="5"/>
  <c r="D227" i="5" s="1"/>
  <c r="D233" i="1"/>
  <c r="D234" i="1" s="1"/>
  <c r="G235" i="1" l="1"/>
  <c r="D235" i="1"/>
  <c r="E227" i="5"/>
  <c r="C228" i="2"/>
  <c r="G228" i="2"/>
  <c r="D228" i="2"/>
  <c r="H227" i="2"/>
  <c r="E228" i="2"/>
  <c r="F228" i="2"/>
  <c r="F232" i="1"/>
  <c r="E232" i="1"/>
  <c r="C228" i="5"/>
  <c r="G236" i="1" l="1"/>
  <c r="D236" i="1"/>
  <c r="D228" i="5"/>
  <c r="C229" i="2"/>
  <c r="G229" i="2"/>
  <c r="D229" i="2"/>
  <c r="E229" i="2"/>
  <c r="F229" i="2"/>
  <c r="F233" i="1"/>
  <c r="F234" i="1" s="1"/>
  <c r="H228" i="2"/>
  <c r="E233" i="1"/>
  <c r="E234" i="1" s="1"/>
  <c r="H232" i="1"/>
  <c r="F230" i="2" s="1"/>
  <c r="F235" i="1" l="1"/>
  <c r="G237" i="1"/>
  <c r="D237" i="1"/>
  <c r="E235" i="1"/>
  <c r="H234" i="1"/>
  <c r="F232" i="2" s="1"/>
  <c r="E230" i="2"/>
  <c r="C229" i="5"/>
  <c r="C230" i="2"/>
  <c r="G230" i="2"/>
  <c r="D230" i="2"/>
  <c r="H233" i="1"/>
  <c r="H229" i="2"/>
  <c r="G238" i="1" l="1"/>
  <c r="F236" i="1"/>
  <c r="C231" i="5"/>
  <c r="C232" i="2"/>
  <c r="D232" i="2"/>
  <c r="G232" i="2"/>
  <c r="E232" i="2"/>
  <c r="D238" i="1"/>
  <c r="E236" i="1"/>
  <c r="H235" i="1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F237" i="1"/>
  <c r="D231" i="5"/>
  <c r="F233" i="2"/>
  <c r="G239" i="1"/>
  <c r="E233" i="2"/>
  <c r="D239" i="1"/>
  <c r="E237" i="1"/>
  <c r="H236" i="1"/>
  <c r="E234" i="2" s="1"/>
  <c r="F230" i="5"/>
  <c r="H230" i="5"/>
  <c r="D230" i="5"/>
  <c r="G230" i="5"/>
  <c r="H231" i="2"/>
  <c r="C233" i="5" l="1"/>
  <c r="D233" i="5" s="1"/>
  <c r="C234" i="2"/>
  <c r="D234" i="2"/>
  <c r="G234" i="2"/>
  <c r="H233" i="2"/>
  <c r="F238" i="1"/>
  <c r="G240" i="1"/>
  <c r="F234" i="2"/>
  <c r="D232" i="5"/>
  <c r="E238" i="1"/>
  <c r="H237" i="1"/>
  <c r="D240" i="1"/>
  <c r="C234" i="5" l="1"/>
  <c r="C235" i="2"/>
  <c r="D235" i="2"/>
  <c r="G235" i="2"/>
  <c r="F239" i="1"/>
  <c r="E235" i="2"/>
  <c r="H234" i="2"/>
  <c r="F235" i="2"/>
  <c r="G241" i="1"/>
  <c r="E233" i="5"/>
  <c r="D241" i="1"/>
  <c r="E239" i="1"/>
  <c r="H238" i="1"/>
  <c r="E236" i="2" s="1"/>
  <c r="F236" i="2" l="1"/>
  <c r="F240" i="1"/>
  <c r="C235" i="5"/>
  <c r="C236" i="2"/>
  <c r="D236" i="2"/>
  <c r="G236" i="2"/>
  <c r="G242" i="1"/>
  <c r="H235" i="2"/>
  <c r="D234" i="5"/>
  <c r="D242" i="1"/>
  <c r="E240" i="1"/>
  <c r="H239" i="1"/>
  <c r="E237" i="2" s="1"/>
  <c r="H236" i="2" l="1"/>
  <c r="D235" i="5"/>
  <c r="G243" i="1"/>
  <c r="F237" i="2"/>
  <c r="F241" i="1"/>
  <c r="C236" i="5"/>
  <c r="C237" i="2"/>
  <c r="D237" i="2"/>
  <c r="G237" i="2"/>
  <c r="E241" i="1"/>
  <c r="H240" i="1"/>
  <c r="D243" i="1"/>
  <c r="H237" i="2" l="1"/>
  <c r="G244" i="1"/>
  <c r="D236" i="5"/>
  <c r="E236" i="5"/>
  <c r="F242" i="1"/>
  <c r="C237" i="5"/>
  <c r="C238" i="2"/>
  <c r="D238" i="2"/>
  <c r="G238" i="2"/>
  <c r="E238" i="2"/>
  <c r="F236" i="5"/>
  <c r="F238" i="2"/>
  <c r="E242" i="1"/>
  <c r="H241" i="1"/>
  <c r="F239" i="2" s="1"/>
  <c r="D244" i="1"/>
  <c r="F243" i="1" l="1"/>
  <c r="C238" i="5"/>
  <c r="C239" i="2"/>
  <c r="G239" i="2"/>
  <c r="D239" i="2"/>
  <c r="H238" i="2"/>
  <c r="G245" i="1"/>
  <c r="E239" i="2"/>
  <c r="D237" i="5"/>
  <c r="E243" i="1"/>
  <c r="H242" i="1"/>
  <c r="E240" i="2" s="1"/>
  <c r="D245" i="1"/>
  <c r="H239" i="2" l="1"/>
  <c r="D238" i="5"/>
  <c r="C239" i="5"/>
  <c r="C240" i="2"/>
  <c r="D240" i="2"/>
  <c r="G240" i="2"/>
  <c r="F240" i="2"/>
  <c r="F244" i="1"/>
  <c r="E244" i="1"/>
  <c r="H243" i="1"/>
  <c r="C240" i="5" l="1"/>
  <c r="C241" i="2"/>
  <c r="G241" i="2"/>
  <c r="D241" i="2"/>
  <c r="D239" i="5"/>
  <c r="E239" i="5"/>
  <c r="F245" i="1"/>
  <c r="E241" i="2"/>
  <c r="F241" i="2"/>
  <c r="H240" i="2"/>
  <c r="E245" i="1"/>
  <c r="H244" i="1"/>
  <c r="H245" i="1" l="1"/>
  <c r="E243" i="2" s="1"/>
  <c r="C241" i="5"/>
  <c r="C242" i="2"/>
  <c r="G242" i="2"/>
  <c r="D242" i="2"/>
  <c r="E242" i="2"/>
  <c r="H241" i="2"/>
  <c r="F242" i="2"/>
  <c r="D240" i="5"/>
  <c r="H242" i="2" l="1"/>
  <c r="D241" i="5"/>
  <c r="F243" i="2"/>
  <c r="C242" i="5"/>
  <c r="H242" i="5" s="1"/>
  <c r="C243" i="2"/>
  <c r="G243" i="2"/>
  <c r="D243" i="2"/>
  <c r="H243" i="2" l="1"/>
  <c r="D242" i="5"/>
  <c r="G242" i="5"/>
  <c r="E242" i="5"/>
  <c r="F2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<sst xmlns="http://schemas.openxmlformats.org/spreadsheetml/2006/main" count="1072" uniqueCount="124">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</sst>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</numFmts>
  <fonts count="3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45" totalsRowShown="0" headerRowDxfId="14">
  <autoFilter ref="A3:J245" xr:uid="{00000000-0009-0000-0100-000006000000}">
    <filterColumn colId="0">
      <filters>
        <filter val="2021"/>
        <filter val="2022"/>
        <filter val="2023"/>
        <filter val="2024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43" totalsRowShown="0" headerRowDxfId="11">
  <autoFilter ref="A3:H243" xr:uid="{00000000-0009-0000-0100-000007000000}">
    <filterColumn colId="0">
      <filters>
        <filter val="2021"/>
        <filter val="2022"/>
        <filter val="2023"/>
        <filter val="2024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51"/>
  <sheetViews>
    <sheetView topLeftCell="A205" zoomScale="90" zoomScaleNormal="90" workbookViewId="0">
      <selection activeCell="E232" sqref="E23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16.710937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8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71">
        <f>130.4/90.3*85.6</f>
        <v>123.61284606866002</v>
      </c>
      <c r="E139" s="171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71">
        <f>130.4/90.3*90.2</f>
        <v>130.25559246954597</v>
      </c>
      <c r="E140" s="171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2">
        <f>130.4/90.3*89.7</f>
        <v>129.53355481727576</v>
      </c>
      <c r="E141" s="172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71">
        <f>130.4/90.3*92.2</f>
        <v>133.14374307862681</v>
      </c>
      <c r="E142" s="171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71">
        <f>130.4/90.3*95.9</f>
        <v>138.48682170542637</v>
      </c>
      <c r="E143" s="171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71">
        <f>130.4/90.3*91.1</f>
        <v>131.55526024363235</v>
      </c>
      <c r="E145" s="171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71">
        <f>130.4/90.3*93.8</f>
        <v>135.45426356589147</v>
      </c>
      <c r="E146" s="171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2">
        <f>130.4/90.3*97.5</f>
        <v>140.79734219269105</v>
      </c>
      <c r="E147" s="172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3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71">
        <f>130.4/90.3*95.3</f>
        <v>137.62037652270212</v>
      </c>
      <c r="E148" s="171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71">
        <f>130.4/90.3*100.4</f>
        <v>144.98516057585826</v>
      </c>
      <c r="E149" s="171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4"/>
      <c r="N150" s="174"/>
      <c r="O150" s="174"/>
      <c r="P150" s="174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71">
        <f>130.4/90.3*100.7</f>
        <v>145.41838316722038</v>
      </c>
      <c r="E151" s="171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3"/>
      <c r="N151" s="173"/>
      <c r="O151" s="173"/>
      <c r="P151" s="175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71">
        <f>130.4/90.3*99.1</f>
        <v>143.1078626799557</v>
      </c>
      <c r="E152" s="171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2">
        <f>130.4/90.3*100.9</f>
        <v>145.70719822812848</v>
      </c>
      <c r="E153" s="172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71">
        <f>130.4/90.3*97.2</f>
        <v>140.36411960132892</v>
      </c>
      <c r="E154" s="171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3"/>
      <c r="N154" s="173"/>
      <c r="O154" s="173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71">
        <f>130.4/90.3*94.3</f>
        <v>136.17630121816168</v>
      </c>
      <c r="E155" s="171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71">
        <f>130.4/90.3*94.4</f>
        <v>136.32070874861574</v>
      </c>
      <c r="E157" s="171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3"/>
      <c r="N157" s="173"/>
      <c r="O157" s="173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71">
        <f>130.4/90.3*97.4</f>
        <v>140.65293466223702</v>
      </c>
      <c r="E158" s="171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3"/>
      <c r="N158" s="173"/>
      <c r="O158" s="173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2">
        <f>130.4/90.3*99.5</f>
        <v>143.68549280177189</v>
      </c>
      <c r="E159" s="172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3"/>
      <c r="N159" s="173"/>
      <c r="O159" s="173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9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3">
        <f>+'Beregning HVO indeks'!C23</f>
        <v>259.86139518637037</v>
      </c>
      <c r="E162" s="171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8"/>
      <c r="K162" s="215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3">
        <f>+'Beregning HVO indeks'!I13</f>
        <v>251.89399894453337</v>
      </c>
      <c r="E163" s="171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2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3">
        <f>+'Beregning HVO indeks'!C26</f>
        <v>257.81434402786124</v>
      </c>
      <c r="E165" s="171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3">
        <f>+'Beregning HVO indeks'!C27</f>
        <v>256.22884413086132</v>
      </c>
      <c r="E166" s="171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11">
        <f>+'Beregning HVO indeks'!C28</f>
        <v>263.82999648571183</v>
      </c>
      <c r="E167" s="172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3">
        <f>+'Beregning HVO indeks'!C29</f>
        <v>266.07789375669279</v>
      </c>
      <c r="E168" s="171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3">
        <f>+'Beregning HVO indeks'!C30</f>
        <v>267.60603685274725</v>
      </c>
      <c r="E169" s="171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2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3">
        <v>283.8</v>
      </c>
      <c r="E171" s="171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3">
        <v>287.2</v>
      </c>
      <c r="E172" s="171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11">
        <v>291.83</v>
      </c>
      <c r="E173" s="172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3">
        <v>291.39999999999998</v>
      </c>
      <c r="E174" s="171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3">
        <v>279.39999999999998</v>
      </c>
      <c r="E175" s="171">
        <f>131/99.8*102.1</f>
        <v>134.0190380761523</v>
      </c>
      <c r="F175" s="153">
        <f>98.9*(109.7/103.3)</f>
        <v>105.02739593417233</v>
      </c>
      <c r="G175" s="116">
        <f t="shared" ref="G175:G238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2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3">
        <v>284.7</v>
      </c>
      <c r="E177" s="171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3">
        <v>283</v>
      </c>
      <c r="E178" s="171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11">
        <v>286.39999999999998</v>
      </c>
      <c r="E179" s="172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8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3">
        <v>293</v>
      </c>
      <c r="E180" s="171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3">
        <v>274.2</v>
      </c>
      <c r="E181" s="171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2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3">
        <v>278.5</v>
      </c>
      <c r="E183" s="171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3">
        <v>280.39999999999998</v>
      </c>
      <c r="E184" s="171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11">
        <v>283.89999999999998</v>
      </c>
      <c r="E185" s="172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3">
        <v>279.2</v>
      </c>
      <c r="E186" s="171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3">
        <v>280.10000000000002</v>
      </c>
      <c r="E187" s="171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2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3">
        <v>284.5</v>
      </c>
      <c r="E189" s="171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3">
        <v>271.39999999999998</v>
      </c>
      <c r="E190" s="171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11">
        <v>248.4</v>
      </c>
      <c r="E191" s="172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3">
        <v>240.3</v>
      </c>
      <c r="E192" s="171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3">
        <v>251.28</v>
      </c>
      <c r="E193" s="171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2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3">
        <v>261.33</v>
      </c>
      <c r="E195" s="171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3">
        <f t="shared" ref="D196:D245" si="33">D195</f>
        <v>261.33</v>
      </c>
      <c r="E196" s="171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11">
        <v>257.3</v>
      </c>
      <c r="E197" s="172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x14ac:dyDescent="0.2">
      <c r="A198" s="2">
        <v>2021</v>
      </c>
      <c r="B198" s="142" t="s">
        <v>8</v>
      </c>
      <c r="C198" s="114">
        <f>141*1.0101</f>
        <v>142.42410000000001</v>
      </c>
      <c r="D198" s="203">
        <v>259.39999999999998</v>
      </c>
      <c r="E198" s="171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x14ac:dyDescent="0.2">
      <c r="A199" s="10">
        <f>A198</f>
        <v>2021</v>
      </c>
      <c r="B199" t="s">
        <v>9</v>
      </c>
      <c r="C199" s="114">
        <f>141*1.0101</f>
        <v>142.42410000000001</v>
      </c>
      <c r="D199" s="173">
        <v>269.8</v>
      </c>
      <c r="E199" s="171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2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3">
        <f>'Beregning HVO indeks'!C71</f>
        <v>296.22835944490652</v>
      </c>
      <c r="E201" s="171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3">
        <v>308.39999999999998</v>
      </c>
      <c r="E202" s="171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11">
        <v>301.8</v>
      </c>
      <c r="E203" s="172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3">
        <v>307.2</v>
      </c>
      <c r="E204" s="171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3">
        <v>309.3</v>
      </c>
      <c r="E205" s="171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5">
        <f>'Beregning HVO indeks'!C76</f>
        <v>319.16740987747085</v>
      </c>
      <c r="E206" s="172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3">
        <f>'Beregning HVO indeks'!C77</f>
        <v>311.79312688554529</v>
      </c>
      <c r="E207" s="171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3">
        <f>'Beregning HVO indeks'!C78</f>
        <v>316.58785517630218</v>
      </c>
      <c r="E208" s="171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11">
        <f>'Beregning HVO indeks'!C79</f>
        <v>339.38944946544734</v>
      </c>
      <c r="E209" s="172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3">
        <f>'Beregning HVO indeks'!C83</f>
        <v>346.3233389881658</v>
      </c>
      <c r="E210" s="171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3">
        <f>'Beregning HVO indeks'!C84</f>
        <v>345.07052521821981</v>
      </c>
      <c r="E211" s="171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2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3">
        <f>+'Beregning HVO indeks'!C86</f>
        <v>433.99992356538559</v>
      </c>
      <c r="E213" s="171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3">
        <f>+'Beregning HVO indeks'!C87</f>
        <v>486.25194142398379</v>
      </c>
      <c r="E214" s="171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11">
        <f>+'Beregning HVO indeks'!C88</f>
        <v>483.67683514169613</v>
      </c>
      <c r="E215" s="172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3">
        <f>+'Beregning HVO indeks'!C89</f>
        <v>500.90848074223686</v>
      </c>
      <c r="E216" s="171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3">
        <f>+'Beregning HVO indeks'!C90</f>
        <v>521.50744042251404</v>
      </c>
      <c r="E217" s="171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2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3">
        <f>+'Beregning HVO indeks'!C92</f>
        <v>478.51780914721309</v>
      </c>
      <c r="E219" s="171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3">
        <f>+'Beregning HVO indeks'!C93</f>
        <v>503.61072839666366</v>
      </c>
      <c r="E220" s="171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11">
        <f>+'Beregning HVO indeks'!C94</f>
        <v>529.39824045174578</v>
      </c>
      <c r="E221" s="172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3">
        <f>+'Beregning HVO indeks'!C98</f>
        <v>497.98242201286564</v>
      </c>
      <c r="E222" s="171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v>2022</v>
      </c>
      <c r="B223" s="142" t="s">
        <v>9</v>
      </c>
      <c r="C223" s="114">
        <f>148.2*1.0101</f>
        <v>149.69681999999997</v>
      </c>
      <c r="D223" s="173">
        <f>+'Beregning HVO indeks'!C99</f>
        <v>457.74608399864962</v>
      </c>
      <c r="E223" s="171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v>2022</v>
      </c>
      <c r="B224" s="13" t="s">
        <v>10</v>
      </c>
      <c r="C224" s="117">
        <f>148.2*1.0101</f>
        <v>149.69681999999997</v>
      </c>
      <c r="D224" s="212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8" ht="15" x14ac:dyDescent="0.2">
      <c r="A225" s="17">
        <v>2022</v>
      </c>
      <c r="B225" s="18" t="s">
        <v>11</v>
      </c>
      <c r="C225" s="114">
        <f>149.4*1.0101</f>
        <v>150.90894</v>
      </c>
      <c r="D225" s="173">
        <f>+'Beregning HVO indeks'!C101</f>
        <v>440.51021240017207</v>
      </c>
      <c r="E225" s="171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8" ht="15" x14ac:dyDescent="0.2">
      <c r="A226" s="10">
        <v>2022</v>
      </c>
      <c r="B226" t="s">
        <v>12</v>
      </c>
      <c r="C226" s="114">
        <f t="shared" ref="C226:C227" si="46">149.4*1.0101</f>
        <v>150.90894</v>
      </c>
      <c r="D226" s="203">
        <f>+'Beregning HVO indeks'!C102</f>
        <v>449.12168409072461</v>
      </c>
      <c r="E226" s="171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:H233" si="47">(100+((C226-$C$163)/$C$163*100*$C$160)+((D226-$D$163)/$D$163*100*$D$160)+((E226-$E$163)/$E$163*100*$E$160)+((F226-$F$163)/$F$163*100*$F$160)+((G226-$G$163)/$G$163*100*$G$160))*$H$163/100</f>
        <v>163.23102533608559</v>
      </c>
    </row>
    <row r="227" spans="1:8" ht="15.75" thickBot="1" x14ac:dyDescent="0.25">
      <c r="A227" s="30">
        <v>2022</v>
      </c>
      <c r="B227" s="31" t="s">
        <v>13</v>
      </c>
      <c r="C227" s="119">
        <f t="shared" si="46"/>
        <v>150.90894</v>
      </c>
      <c r="D227" s="211">
        <f>+'Beregning HVO indeks'!C103</f>
        <v>437.18048745997908</v>
      </c>
      <c r="E227" s="172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8">(100+((C227-$C$163)/$C$163*100*$C$160)+((D227-$D$163)/$D$163*100*$D$160)+((E227-$E$163)/$E$163*100*$E$160)+((F227-$F$163)/$F$163*100*$F$160)+((G227-$G$163)/$G$163*100*$G$160))*$H$163/100</f>
        <v>161.88386198763266</v>
      </c>
    </row>
    <row r="228" spans="1:8" ht="15" x14ac:dyDescent="0.2">
      <c r="A228" s="17">
        <v>2022</v>
      </c>
      <c r="B228" s="22" t="s">
        <v>30</v>
      </c>
      <c r="C228" s="114">
        <f>150.8*1.0101</f>
        <v>152.32308</v>
      </c>
      <c r="D228" s="203">
        <f>+'Beregning HVO indeks'!C104</f>
        <v>410.98711278725267</v>
      </c>
      <c r="E228" s="171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49">(100+((C228-$C$163)/$C$163*100*$C$160)+((D228-$D$163)/$D$163*100*$D$160)+((E228-$E$163)/$E$163*100*$E$160)+((F228-$F$163)/$F$163*100*$F$160)+((G228-$G$163)/$G$163*100*$G$160))*$H$163/100</f>
        <v>159.4990241529556</v>
      </c>
    </row>
    <row r="229" spans="1:8" ht="15" x14ac:dyDescent="0.2">
      <c r="A229" s="10">
        <v>2022</v>
      </c>
      <c r="B229" t="s">
        <v>14</v>
      </c>
      <c r="C229" s="114">
        <f t="shared" ref="C229:C231" si="50">150.8*1.0101</f>
        <v>152.32308</v>
      </c>
      <c r="D229" s="173">
        <f>+'Beregning HVO indeks'!C105</f>
        <v>430.04033031427787</v>
      </c>
      <c r="E229" s="171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1">(100+((C229-$C$163)/$C$163*100*$C$160)+((D229-$D$163)/$D$163*100*$D$160)+((E229-$E$163)/$E$163*100*$E$160)+((F229-$F$163)/$F$163*100*$F$160)+((G229-$G$163)/$G$163*100*$G$160))*$H$163/100</f>
        <v>162.16189723418211</v>
      </c>
    </row>
    <row r="230" spans="1:8" ht="15" x14ac:dyDescent="0.2">
      <c r="A230" s="12">
        <v>2022</v>
      </c>
      <c r="B230" s="13" t="s">
        <v>15</v>
      </c>
      <c r="C230" s="117">
        <f t="shared" si="50"/>
        <v>152.32308</v>
      </c>
      <c r="D230" s="212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2">(100+((C230-$C$163)/$C$163*100*$C$160)+((D230-$D$163)/$D$163*100*$D$160)+((E230-$E$163)/$E$163*100*$E$160)+((F230-$F$163)/$F$163*100*$F$160)+((G230-$G$163)/$G$163*100*$G$160))*$H$163/100</f>
        <v>161.8148166361016</v>
      </c>
    </row>
    <row r="231" spans="1:8" ht="15" x14ac:dyDescent="0.2">
      <c r="A231" s="17">
        <v>2022</v>
      </c>
      <c r="B231" s="18" t="s">
        <v>16</v>
      </c>
      <c r="C231" s="114">
        <f>151.6*1.0101</f>
        <v>153.13115999999999</v>
      </c>
      <c r="D231" s="173">
        <f>+'Beregning HVO indeks'!C107</f>
        <v>452.81437220897953</v>
      </c>
      <c r="E231" s="171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3">(100+((C231-$C$163)/$C$163*100*$C$160)+((D231-$D$163)/$D$163*100*$D$160)+((E231-$E$163)/$E$163*100*$E$160)+((F231-$F$163)/$F$163*100*$F$160)+((G231-$G$163)/$G$163*100*$G$160))*$H$163/100</f>
        <v>165.5065466007517</v>
      </c>
    </row>
    <row r="232" spans="1:8" ht="15" x14ac:dyDescent="0.2">
      <c r="A232" s="10">
        <v>2022</v>
      </c>
      <c r="B232" t="s">
        <v>17</v>
      </c>
      <c r="C232" s="114">
        <f t="shared" ref="C232:C233" si="54">151.6*1.0101</f>
        <v>153.13115999999999</v>
      </c>
      <c r="D232" s="128">
        <f t="shared" si="33"/>
        <v>452.81437220897953</v>
      </c>
      <c r="E232" s="128">
        <f t="shared" ref="E231:E233" si="55">E231*(1+(((SUM(E$210:E$221)-SUM(E$198:E$209))/SUM(E$198:E$209))/12))</f>
        <v>155.36829539795298</v>
      </c>
      <c r="F232" s="128">
        <f t="shared" ref="F231:F233" si="56">F231*(1+(((SUM(F$210:F$221)-SUM(F$198:F$209))/SUM(F$198:F$209))/12))</f>
        <v>126.74187294295677</v>
      </c>
      <c r="G232" s="71">
        <f t="shared" si="29"/>
        <v>3.67</v>
      </c>
      <c r="H232" s="291">
        <f t="shared" si="47"/>
        <v>165.6345607399258</v>
      </c>
    </row>
    <row r="233" spans="1:8" ht="15.75" thickBot="1" x14ac:dyDescent="0.25">
      <c r="A233" s="30">
        <v>2022</v>
      </c>
      <c r="B233" s="31" t="s">
        <v>18</v>
      </c>
      <c r="C233" s="119">
        <f t="shared" si="54"/>
        <v>153.13115999999999</v>
      </c>
      <c r="D233" s="293">
        <f t="shared" si="33"/>
        <v>452.81437220897953</v>
      </c>
      <c r="E233" s="293">
        <f t="shared" si="55"/>
        <v>156.24552394453389</v>
      </c>
      <c r="F233" s="293">
        <f t="shared" si="56"/>
        <v>127.47536685164556</v>
      </c>
      <c r="G233" s="294">
        <f t="shared" si="29"/>
        <v>3.67</v>
      </c>
      <c r="H233" s="295">
        <f t="shared" si="47"/>
        <v>165.76330720588589</v>
      </c>
    </row>
    <row r="234" spans="1:8" ht="15" x14ac:dyDescent="0.2">
      <c r="A234" s="2">
        <v>2024</v>
      </c>
      <c r="B234" s="142" t="s">
        <v>8</v>
      </c>
      <c r="C234" s="128">
        <f>C231*(1+(((SUM(C$222:C$233)-SUM(C$210:C$221))/SUM(C$210:C$221))/4))</f>
        <v>154.2339564197531</v>
      </c>
      <c r="D234" s="128">
        <f t="shared" si="33"/>
        <v>452.81437220897953</v>
      </c>
      <c r="E234" s="128">
        <f>E233*(1+(((SUM(E$222:E$233)-SUM(E$210:E$221))/SUM(E$210:E$221))/12))</f>
        <v>156.87193927276454</v>
      </c>
      <c r="F234" s="128">
        <f>F233*(1+(((SUM(F$222:F$233)-SUM(F$210:F$221))/SUM(F$210:F$221))/12))</f>
        <v>128.19713679630183</v>
      </c>
      <c r="G234" s="71">
        <f t="shared" si="29"/>
        <v>3.67</v>
      </c>
      <c r="H234" s="291">
        <f>(100+((C234-$C$163)/$C$163*100*$C$160)+((D234-$D$163)/$D$163*100*$D$160)+((E234-$E$163)/$E$163*100*$E$160)+((F234-$F$163)/$F$163*100*$F$160)+((G234-$G$163)/$G$163*100*$G$160))*$H$163/100</f>
        <v>166.48287444743801</v>
      </c>
    </row>
    <row r="235" spans="1:8" ht="15" x14ac:dyDescent="0.2">
      <c r="A235" s="10">
        <v>2022</v>
      </c>
      <c r="B235" s="142" t="s">
        <v>9</v>
      </c>
      <c r="C235" s="128">
        <f t="shared" ref="C235:C245" si="57">C232*(1+(((SUM(C$222:C$233)-SUM(C$210:C$221))/SUM(C$210:C$221))/4))</f>
        <v>154.2339564197531</v>
      </c>
      <c r="D235" s="128">
        <f t="shared" si="33"/>
        <v>452.81437220897953</v>
      </c>
      <c r="E235" s="128">
        <f t="shared" ref="E235:E245" si="58">E234*(1+(((SUM(E$222:E$233)-SUM(E$210:E$221))/SUM(E$210:E$221))/12))</f>
        <v>157.50086600838489</v>
      </c>
      <c r="F235" s="128">
        <f t="shared" ref="F235:F245" si="59">F234*(1+(((SUM(F$222:F$233)-SUM(F$210:F$221))/SUM(F$210:F$221))/12))</f>
        <v>128.92299342739702</v>
      </c>
      <c r="G235" s="71">
        <f t="shared" si="29"/>
        <v>3.67</v>
      </c>
      <c r="H235" s="291">
        <f t="shared" ref="H235:H245" si="60">(100+((C235-$C$163)/$C$163*100*$C$160)+((D235-$D$163)/$D$163*100*$D$160)+((E235-$E$163)/$E$163*100*$E$160)+((F235-$F$163)/$F$163*100*$F$160)+((G235-$G$163)/$G$163*100*$G$160))*$H$163/100</f>
        <v>166.59371463595733</v>
      </c>
    </row>
    <row r="236" spans="1:8" ht="15" x14ac:dyDescent="0.2">
      <c r="A236" s="12">
        <v>2022</v>
      </c>
      <c r="B236" s="13" t="s">
        <v>10</v>
      </c>
      <c r="C236" s="129">
        <f t="shared" si="57"/>
        <v>154.2339564197531</v>
      </c>
      <c r="D236" s="129">
        <f t="shared" si="33"/>
        <v>452.81437220897953</v>
      </c>
      <c r="E236" s="129">
        <f t="shared" si="58"/>
        <v>158.13231422006155</v>
      </c>
      <c r="F236" s="129">
        <f t="shared" si="59"/>
        <v>129.65295988389136</v>
      </c>
      <c r="G236" s="72">
        <f t="shared" si="29"/>
        <v>3.67</v>
      </c>
      <c r="H236" s="292">
        <f t="shared" si="60"/>
        <v>166.70511040346227</v>
      </c>
    </row>
    <row r="237" spans="1:8" ht="15" x14ac:dyDescent="0.2">
      <c r="A237" s="17">
        <v>2022</v>
      </c>
      <c r="B237" s="18" t="s">
        <v>11</v>
      </c>
      <c r="C237" s="128">
        <f t="shared" si="57"/>
        <v>155.34469478903117</v>
      </c>
      <c r="D237" s="130">
        <f t="shared" si="33"/>
        <v>452.81437220897953</v>
      </c>
      <c r="E237" s="128">
        <f t="shared" si="58"/>
        <v>158.76629401682806</v>
      </c>
      <c r="F237" s="128">
        <f t="shared" si="59"/>
        <v>130.38705943575869</v>
      </c>
      <c r="G237" s="127">
        <f t="shared" si="29"/>
        <v>3.67</v>
      </c>
      <c r="H237" s="291">
        <f t="shared" si="60"/>
        <v>167.4307322143278</v>
      </c>
    </row>
    <row r="238" spans="1:8" ht="15" x14ac:dyDescent="0.2">
      <c r="A238" s="10">
        <v>2022</v>
      </c>
      <c r="B238" t="s">
        <v>12</v>
      </c>
      <c r="C238" s="128">
        <f t="shared" si="57"/>
        <v>155.34469478903117</v>
      </c>
      <c r="D238" s="128">
        <f t="shared" si="33"/>
        <v>452.81437220897953</v>
      </c>
      <c r="E238" s="128">
        <f t="shared" si="58"/>
        <v>159.40281554824691</v>
      </c>
      <c r="F238" s="128">
        <f t="shared" si="59"/>
        <v>131.12531548472825</v>
      </c>
      <c r="G238" s="71">
        <f t="shared" si="29"/>
        <v>3.67</v>
      </c>
      <c r="H238" s="291">
        <f t="shared" si="60"/>
        <v>167.54324772594032</v>
      </c>
    </row>
    <row r="239" spans="1:8" ht="15" x14ac:dyDescent="0.2">
      <c r="A239" s="12">
        <v>2022</v>
      </c>
      <c r="B239" s="13" t="s">
        <v>13</v>
      </c>
      <c r="C239" s="129">
        <f t="shared" si="57"/>
        <v>155.34469478903117</v>
      </c>
      <c r="D239" s="129">
        <f t="shared" si="33"/>
        <v>452.81437220897953</v>
      </c>
      <c r="E239" s="129">
        <f t="shared" si="58"/>
        <v>160.04188900457191</v>
      </c>
      <c r="F239" s="129">
        <f t="shared" si="59"/>
        <v>131.86775156503066</v>
      </c>
      <c r="G239" s="72">
        <f t="shared" ref="G239:G245" si="61">+G238</f>
        <v>3.67</v>
      </c>
      <c r="H239" s="292">
        <f t="shared" si="60"/>
        <v>167.65632743279383</v>
      </c>
    </row>
    <row r="240" spans="1:8" ht="15" x14ac:dyDescent="0.2">
      <c r="A240" s="17">
        <v>2022</v>
      </c>
      <c r="B240" s="22" t="s">
        <v>30</v>
      </c>
      <c r="C240" s="128">
        <f t="shared" si="57"/>
        <v>156.46343230294397</v>
      </c>
      <c r="D240" s="128">
        <f t="shared" si="33"/>
        <v>452.81437220897953</v>
      </c>
      <c r="E240" s="128">
        <f t="shared" si="58"/>
        <v>160.6835246169114</v>
      </c>
      <c r="F240" s="128">
        <f t="shared" si="59"/>
        <v>132.6143913441482</v>
      </c>
      <c r="G240" s="71">
        <f t="shared" si="61"/>
        <v>3.67</v>
      </c>
      <c r="H240" s="291">
        <f t="shared" si="60"/>
        <v>168.38806126148813</v>
      </c>
    </row>
    <row r="241" spans="1:16" ht="15" x14ac:dyDescent="0.2">
      <c r="A241" s="10">
        <v>2022</v>
      </c>
      <c r="B241" t="s">
        <v>14</v>
      </c>
      <c r="C241" s="128">
        <f t="shared" si="57"/>
        <v>156.46343230294397</v>
      </c>
      <c r="D241" s="128">
        <f t="shared" si="33"/>
        <v>452.81437220897953</v>
      </c>
      <c r="E241" s="128">
        <f t="shared" si="58"/>
        <v>161.32773265739192</v>
      </c>
      <c r="F241" s="128">
        <f t="shared" si="59"/>
        <v>133.36525862356922</v>
      </c>
      <c r="G241" s="71">
        <f t="shared" si="61"/>
        <v>3.67</v>
      </c>
      <c r="H241" s="291">
        <f t="shared" si="60"/>
        <v>168.50227808110142</v>
      </c>
    </row>
    <row r="242" spans="1:16" ht="15" x14ac:dyDescent="0.2">
      <c r="A242" s="12">
        <v>2022</v>
      </c>
      <c r="B242" s="13" t="s">
        <v>15</v>
      </c>
      <c r="C242" s="129">
        <f t="shared" si="57"/>
        <v>156.46343230294397</v>
      </c>
      <c r="D242" s="129">
        <f t="shared" si="33"/>
        <v>452.81437220897953</v>
      </c>
      <c r="E242" s="129">
        <f t="shared" si="58"/>
        <v>161.97452343932281</v>
      </c>
      <c r="F242" s="129">
        <f t="shared" si="59"/>
        <v>134.12037733954693</v>
      </c>
      <c r="G242" s="72">
        <f t="shared" si="61"/>
        <v>3.67</v>
      </c>
      <c r="H242" s="292">
        <f t="shared" si="60"/>
        <v>168.61706784883879</v>
      </c>
    </row>
    <row r="243" spans="1:16" ht="15" x14ac:dyDescent="0.2">
      <c r="A243" s="10">
        <v>2022</v>
      </c>
      <c r="B243" t="s">
        <v>16</v>
      </c>
      <c r="C243" s="128">
        <f t="shared" si="57"/>
        <v>157.59022656850016</v>
      </c>
      <c r="D243" s="128">
        <f t="shared" si="33"/>
        <v>452.81437220897953</v>
      </c>
      <c r="E243" s="128">
        <f t="shared" si="58"/>
        <v>162.62390731736124</v>
      </c>
      <c r="F243" s="128">
        <f t="shared" si="59"/>
        <v>134.87977156386248</v>
      </c>
      <c r="G243" s="71">
        <f t="shared" si="61"/>
        <v>3.67</v>
      </c>
      <c r="H243" s="291">
        <f t="shared" si="60"/>
        <v>169.35497178133309</v>
      </c>
    </row>
    <row r="244" spans="1:16" ht="15" x14ac:dyDescent="0.2">
      <c r="A244" s="10">
        <v>2022</v>
      </c>
      <c r="B244" t="s">
        <v>17</v>
      </c>
      <c r="C244" s="128">
        <f t="shared" si="57"/>
        <v>157.59022656850016</v>
      </c>
      <c r="D244" s="128">
        <f t="shared" si="33"/>
        <v>452.81437220897953</v>
      </c>
      <c r="E244" s="128">
        <f t="shared" si="58"/>
        <v>163.27589468767798</v>
      </c>
      <c r="F244" s="128">
        <f t="shared" si="59"/>
        <v>135.6434655045922</v>
      </c>
      <c r="G244" s="71">
        <f t="shared" si="61"/>
        <v>3.67</v>
      </c>
      <c r="H244" s="291">
        <f t="shared" si="60"/>
        <v>169.47091630593619</v>
      </c>
    </row>
    <row r="245" spans="1:16" ht="15" x14ac:dyDescent="0.2">
      <c r="A245" s="10">
        <v>2022</v>
      </c>
      <c r="B245" t="s">
        <v>18</v>
      </c>
      <c r="C245" s="128">
        <f t="shared" si="57"/>
        <v>157.59022656850016</v>
      </c>
      <c r="D245" s="128">
        <f t="shared" si="33"/>
        <v>452.81437220897953</v>
      </c>
      <c r="E245" s="128">
        <f t="shared" si="58"/>
        <v>163.93049598812382</v>
      </c>
      <c r="F245" s="128">
        <f t="shared" si="59"/>
        <v>136.41148350687945</v>
      </c>
      <c r="G245" s="71">
        <f t="shared" si="61"/>
        <v>3.67</v>
      </c>
      <c r="H245" s="291">
        <f t="shared" si="60"/>
        <v>169.5874426703808</v>
      </c>
    </row>
    <row r="246" spans="1:16" x14ac:dyDescent="0.2">
      <c r="A246" s="166" t="s">
        <v>42</v>
      </c>
      <c r="B246" s="166"/>
      <c r="C246" s="166"/>
      <c r="D246" s="166"/>
      <c r="E246" s="166"/>
      <c r="F246" s="166"/>
      <c r="G246" s="166"/>
      <c r="H246" s="167"/>
      <c r="I246" s="166"/>
      <c r="J246" s="166"/>
      <c r="P246" s="142"/>
    </row>
    <row r="247" spans="1:16" x14ac:dyDescent="0.2">
      <c r="A247" s="166" t="s">
        <v>43</v>
      </c>
      <c r="B247" s="166"/>
      <c r="C247" s="166"/>
      <c r="D247" s="166"/>
      <c r="E247" s="166"/>
      <c r="F247" s="166"/>
      <c r="G247" s="166"/>
      <c r="H247" s="167"/>
      <c r="I247" s="166"/>
      <c r="J247" s="166"/>
    </row>
    <row r="248" spans="1:16" x14ac:dyDescent="0.2">
      <c r="A248" s="166" t="s">
        <v>45</v>
      </c>
      <c r="B248" s="166"/>
      <c r="C248" s="166"/>
      <c r="D248" s="166"/>
      <c r="E248" s="166"/>
      <c r="F248" s="166"/>
      <c r="G248" s="166"/>
      <c r="H248" s="167"/>
      <c r="I248" s="166"/>
      <c r="J248" s="166"/>
    </row>
    <row r="249" spans="1:16" x14ac:dyDescent="0.2">
      <c r="A249" s="168" t="s">
        <v>115</v>
      </c>
      <c r="B249" s="168" t="s">
        <v>67</v>
      </c>
      <c r="C249" s="168"/>
      <c r="D249" s="168"/>
      <c r="E249" s="168"/>
      <c r="F249" s="168"/>
      <c r="G249" s="168"/>
      <c r="H249" s="169"/>
      <c r="I249" s="168"/>
      <c r="J249" s="168"/>
    </row>
    <row r="250" spans="1:16" x14ac:dyDescent="0.2">
      <c r="A250" s="168" t="s">
        <v>114</v>
      </c>
      <c r="B250" s="168" t="s">
        <v>116</v>
      </c>
      <c r="C250" s="168"/>
      <c r="D250" s="168"/>
      <c r="E250" s="168"/>
      <c r="F250" s="168"/>
      <c r="G250" s="168"/>
      <c r="H250" s="169"/>
      <c r="I250" s="168"/>
      <c r="J250" s="168"/>
    </row>
    <row r="251" spans="1:16" x14ac:dyDescent="0.2">
      <c r="A251" s="163" t="s">
        <v>71</v>
      </c>
      <c r="B251" s="164" t="s">
        <v>74</v>
      </c>
      <c r="C251" s="164"/>
      <c r="D251" s="164"/>
      <c r="E251" s="164"/>
      <c r="F251" s="164"/>
      <c r="G251" s="164"/>
      <c r="H251" s="164"/>
      <c r="I251" s="164"/>
      <c r="J251" s="164"/>
      <c r="K251" s="165"/>
    </row>
  </sheetData>
  <phoneticPr fontId="4" type="noConversion"/>
  <pageMargins left="0.74803149606299213" right="0.74803149606299213" top="0.78740157480314965" bottom="0.39370078740157483" header="0" footer="0"/>
  <pageSetup paperSize="9" scale="98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33" max="9" man="1"/>
    <brk id="252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43"/>
  <sheetViews>
    <sheetView topLeftCell="A205" zoomScaleNormal="100" workbookViewId="0">
      <selection activeCell="A229" sqref="A229:XFD229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9">
        <f>(Indeks!C168/Indeks!C$163*Indeks!C$160)/(Indeks!$H168/Indeks!$H$163)</f>
        <v>0.59250252728438835</v>
      </c>
      <c r="D166" s="219">
        <f>(Indeks!D168/Indeks!D$163*Indeks!D$160)/(Indeks!$H168/Indeks!$H$163)</f>
        <v>0.25097422426058902</v>
      </c>
      <c r="E166" s="219">
        <f>(Indeks!E168/Indeks!E$163*Indeks!E$160)/(Indeks!$H168/Indeks!$H$163)</f>
        <v>7.3764656829088643E-2</v>
      </c>
      <c r="F166" s="219">
        <f>(Indeks!F168/Indeks!F$163*Indeks!F$160)/(Indeks!$H168/Indeks!$H$163)</f>
        <v>7.6778831894324509E-2</v>
      </c>
      <c r="G166" s="219">
        <f>(Indeks!G168/Indeks!G$163*Indeks!G$160)/(Indeks!$H168/Indeks!$H$163)</f>
        <v>5.9797597316093272E-3</v>
      </c>
      <c r="H166" s="219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9">
        <f>(Indeks!C180/Indeks!C$163*Indeks!C$160)/(Indeks!$H180/Indeks!$H$163)</f>
        <v>0.58177978438251232</v>
      </c>
      <c r="D178" s="219">
        <f>(Indeks!D180/Indeks!D$163*Indeks!D$160)/(Indeks!$H180/Indeks!$H$163)</f>
        <v>0.26620147961661422</v>
      </c>
      <c r="E178" s="219">
        <f>(Indeks!E180/Indeks!E$163*Indeks!E$160)/(Indeks!$H180/Indeks!$H$163)</f>
        <v>7.1536807231091723E-2</v>
      </c>
      <c r="F178" s="219">
        <f>(Indeks!F180/Indeks!F$163*Indeks!F$160)/(Indeks!$H180/Indeks!$H$163)</f>
        <v>7.5010133271448107E-2</v>
      </c>
      <c r="G178" s="219">
        <f>(Indeks!G180/Indeks!G$163*Indeks!G$160)/(Indeks!$H180/Indeks!$H$163)</f>
        <v>5.4717954983336493E-3</v>
      </c>
      <c r="H178" s="219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9">
        <f>(Indeks!C192/Indeks!C$163*Indeks!C$160)/(Indeks!$H192/Indeks!$H$163)</f>
        <v>0.61829349932420374</v>
      </c>
      <c r="D190" s="219">
        <f>(Indeks!D192/Indeks!D$163*Indeks!D$160)/(Indeks!$H192/Indeks!$H$163)</f>
        <v>0.22671288185100558</v>
      </c>
      <c r="E190" s="219">
        <f>(Indeks!E192/Indeks!E$163*Indeks!E$160)/(Indeks!$H192/Indeks!$H$163)</f>
        <v>7.428636967057993E-2</v>
      </c>
      <c r="F190" s="219">
        <f>(Indeks!F192/Indeks!F$163*Indeks!F$160)/(Indeks!$H192/Indeks!$H$163)</f>
        <v>7.841446896730532E-2</v>
      </c>
      <c r="G190" s="219">
        <f>(Indeks!G192/Indeks!G$163*Indeks!G$160)/(Indeks!$H192/Indeks!$H$163)</f>
        <v>2.2927801869054814E-3</v>
      </c>
      <c r="H190" s="219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9">
        <f>(Indeks!C195/Indeks!C$163*Indeks!C$160)/(Indeks!$H195/Indeks!$H$163)</f>
        <v>0.60648232035791416</v>
      </c>
      <c r="D193" s="219">
        <f>(Indeks!D195/Indeks!D$163*Indeks!D$160)/(Indeks!$H195/Indeks!$H$163)</f>
        <v>0.24115391549815979</v>
      </c>
      <c r="E193" s="219">
        <f>(Indeks!E195/Indeks!E$163*Indeks!E$160)/(Indeks!$H195/Indeks!$H$163)</f>
        <v>7.3011765101392415E-2</v>
      </c>
      <c r="F193" s="219">
        <f>(Indeks!F195/Indeks!F$163*Indeks!F$160)/(Indeks!$H195/Indeks!$H$163)</f>
        <v>7.720693685416552E-2</v>
      </c>
      <c r="G193" s="219">
        <f>(Indeks!G195/Indeks!G$163*Indeks!G$160)/(Indeks!$H195/Indeks!$H$163)</f>
        <v>2.1450621883683024E-3</v>
      </c>
      <c r="H193" s="219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x14ac:dyDescent="0.2">
      <c r="A202" s="10">
        <f t="shared" si="28"/>
        <v>2021</v>
      </c>
      <c r="B202" t="s">
        <v>30</v>
      </c>
      <c r="C202" s="219">
        <f>(Indeks!C204/Indeks!C$163*Indeks!C$160)/(Indeks!$H204/Indeks!$H$163)</f>
        <v>0.58317751708049059</v>
      </c>
      <c r="D202" s="219">
        <f>(Indeks!D204/Indeks!D$163*Indeks!D$160)/(Indeks!$H204/Indeks!$H$163)</f>
        <v>0.26800159335850782</v>
      </c>
      <c r="E202" s="219">
        <f>(Indeks!E204/Indeks!E$163*Indeks!E$160)/(Indeks!$H204/Indeks!$H$163)</f>
        <v>6.9890749221421619E-2</v>
      </c>
      <c r="F202" s="219">
        <f>(Indeks!F204/Indeks!F$163*Indeks!F$160)/(Indeks!$H204/Indeks!$H$163)</f>
        <v>7.4505585732246374E-2</v>
      </c>
      <c r="G202" s="219">
        <f>(Indeks!G204/Indeks!G$163*Indeks!G$160)/(Indeks!$H204/Indeks!$H$163)</f>
        <v>4.424554607333854E-3</v>
      </c>
      <c r="H202" s="219">
        <f t="shared" si="27"/>
        <v>1.0000000000000002</v>
      </c>
    </row>
    <row r="203" spans="1:8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x14ac:dyDescent="0.2">
      <c r="A205" s="10">
        <f t="shared" si="28"/>
        <v>2021</v>
      </c>
      <c r="B205" t="s">
        <v>16</v>
      </c>
      <c r="C205" s="219">
        <f>(Indeks!C207/Indeks!C$163*Indeks!C$160)/(Indeks!$H207/Indeks!$H$163)</f>
        <v>0.58339161767487591</v>
      </c>
      <c r="D205" s="219">
        <f>(Indeks!D207/Indeks!D$163*Indeks!D$160)/(Indeks!$H207/Indeks!$H$163)</f>
        <v>0.26927600726346829</v>
      </c>
      <c r="E205" s="219">
        <f>(Indeks!E207/Indeks!E$163*Indeks!E$160)/(Indeks!$H207/Indeks!$H$163)</f>
        <v>6.9584357965654139E-2</v>
      </c>
      <c r="F205" s="219">
        <f>(Indeks!F207/Indeks!F$163*Indeks!F$160)/(Indeks!$H207/Indeks!$H$163)</f>
        <v>7.4097929638944002E-2</v>
      </c>
      <c r="G205" s="219">
        <f>(Indeks!G207/Indeks!G$163*Indeks!G$160)/(Indeks!$H207/Indeks!$H$163)</f>
        <v>3.6500874570580188E-3</v>
      </c>
      <c r="H205" s="219">
        <f t="shared" si="27"/>
        <v>1.0000000000000004</v>
      </c>
    </row>
    <row r="206" spans="1:8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x14ac:dyDescent="0.2">
      <c r="A211" s="17">
        <f t="shared" si="30"/>
        <v>2022</v>
      </c>
      <c r="B211" s="18" t="s">
        <v>11</v>
      </c>
      <c r="C211" s="219">
        <f>(Indeks!C213/Indeks!C$163*Indeks!C$160)/(Indeks!$H213/Indeks!$H$163)</f>
        <v>0.52410520389388748</v>
      </c>
      <c r="D211" s="219">
        <f>(Indeks!D213/Indeks!D$163*Indeks!D$160)/(Indeks!$H213/Indeks!$H$163)</f>
        <v>0.33417690021472823</v>
      </c>
      <c r="E211" s="219">
        <f>(Indeks!E213/Indeks!E$163*Indeks!E$160)/(Indeks!$H213/Indeks!$H$163)</f>
        <v>6.4215143112321391E-2</v>
      </c>
      <c r="F211" s="219">
        <f>(Indeks!F213/Indeks!F$163*Indeks!F$160)/(Indeks!$H213/Indeks!$H$163)</f>
        <v>6.9041546755164968E-2</v>
      </c>
      <c r="G211" s="219">
        <f>(Indeks!G213/Indeks!G$163*Indeks!G$160)/(Indeks!$H213/Indeks!$H$163)</f>
        <v>8.4612060238977386E-3</v>
      </c>
      <c r="H211" s="219">
        <f t="shared" si="29"/>
        <v>0.99999999999999978</v>
      </c>
    </row>
    <row r="212" spans="1:8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x14ac:dyDescent="0.2">
      <c r="A214" s="10">
        <f t="shared" si="30"/>
        <v>2022</v>
      </c>
      <c r="B214" t="s">
        <v>30</v>
      </c>
      <c r="C214" s="219">
        <f>(Indeks!C216/Indeks!C$163*Indeks!C$160)/(Indeks!$H216/Indeks!$H$163)</f>
        <v>0.4948933814578314</v>
      </c>
      <c r="D214" s="219">
        <f>(Indeks!D216/Indeks!D$163*Indeks!D$160)/(Indeks!$H216/Indeks!$H$163)</f>
        <v>0.36245129536352172</v>
      </c>
      <c r="E214" s="219">
        <f>(Indeks!E216/Indeks!E$163*Indeks!E$160)/(Indeks!$H216/Indeks!$H$163)</f>
        <v>6.2279229473622418E-2</v>
      </c>
      <c r="F214" s="219">
        <f>(Indeks!F216/Indeks!F$163*Indeks!F$160)/(Indeks!$H216/Indeks!$H$163)</f>
        <v>6.630845350911424E-2</v>
      </c>
      <c r="G214" s="219">
        <f>(Indeks!G216/Indeks!G$163*Indeks!G$160)/(Indeks!$H216/Indeks!$H$163)</f>
        <v>1.4067640195910098E-2</v>
      </c>
      <c r="H214" s="219">
        <f t="shared" si="29"/>
        <v>0.99999999999999978</v>
      </c>
    </row>
    <row r="215" spans="1:8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x14ac:dyDescent="0.2">
      <c r="A217" s="17">
        <f t="shared" si="30"/>
        <v>2022</v>
      </c>
      <c r="B217" s="18" t="s">
        <v>16</v>
      </c>
      <c r="C217" s="219">
        <f>(Indeks!C219/Indeks!C$163*Indeks!C$160)/(Indeks!$H219/Indeks!$H$163)</f>
        <v>0.50134031066866136</v>
      </c>
      <c r="D217" s="219">
        <f>(Indeks!D219/Indeks!D$163*Indeks!D$160)/(Indeks!$H219/Indeks!$H$163)</f>
        <v>0.3476624923098261</v>
      </c>
      <c r="E217" s="219">
        <f>(Indeks!E219/Indeks!E$163*Indeks!E$160)/(Indeks!$H219/Indeks!$H$163)</f>
        <v>6.3754053918068584E-2</v>
      </c>
      <c r="F217" s="219">
        <f>(Indeks!F219/Indeks!F$163*Indeks!F$160)/(Indeks!$H219/Indeks!$H$163)</f>
        <v>6.7897978396885675E-2</v>
      </c>
      <c r="G217" s="219">
        <f>(Indeks!G219/Indeks!G$163*Indeks!G$160)/(Indeks!$H219/Indeks!$H$163)</f>
        <v>1.9345164706557921E-2</v>
      </c>
      <c r="H217" s="219">
        <f t="shared" si="29"/>
        <v>0.99999999999999967</v>
      </c>
    </row>
    <row r="218" spans="1:8" ht="13.5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9">
        <f>(Indeks!C228/Indeks!C$163*Indeks!C$160)/(Indeks!$H228/Indeks!$H$163)</f>
        <v>0.52762954655666949</v>
      </c>
      <c r="D226" s="219">
        <f>(Indeks!D228/Indeks!D$163*Indeks!D$160)/(Indeks!$H228/Indeks!$H$163)</f>
        <v>0.30675446132922973</v>
      </c>
      <c r="E226" s="219">
        <f>(Indeks!E228/Indeks!E$163*Indeks!E$160)/(Indeks!$H228/Indeks!$H$163)</f>
        <v>6.612241637935326E-2</v>
      </c>
      <c r="F226" s="219">
        <f>(Indeks!F228/Indeks!F$163*Indeks!F$160)/(Indeks!$H228/Indeks!$H$163)</f>
        <v>7.2285743808779779E-2</v>
      </c>
      <c r="G226" s="219">
        <f>(Indeks!G228/Indeks!G$163*Indeks!G$160)/(Indeks!$H228/Indeks!$H$163)</f>
        <v>2.7207831925967423E-2</v>
      </c>
      <c r="H226" s="219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9">
        <f>(Indeks!C231/Indeks!C$163*Indeks!C$160)/(Indeks!$H231/Indeks!$H$163)</f>
        <v>0.51117525298147348</v>
      </c>
      <c r="D229" s="219">
        <f>(Indeks!D231/Indeks!D$163*Indeks!D$160)/(Indeks!$H231/Indeks!$H$163)</f>
        <v>0.32570598558895042</v>
      </c>
      <c r="E229" s="219">
        <f>(Indeks!E231/Indeks!E$163*Indeks!E$160)/(Indeks!$H231/Indeks!$H$163)</f>
        <v>6.4656180130520866E-2</v>
      </c>
      <c r="F229" s="219">
        <f>(Indeks!F231/Indeks!F$163*Indeks!F$160)/(Indeks!$H231/Indeks!$H$163)</f>
        <v>7.0570317844403013E-2</v>
      </c>
      <c r="G229" s="219">
        <f>(Indeks!G231/Indeks!G$163*Indeks!G$160)/(Indeks!$H231/Indeks!$H$163)</f>
        <v>2.7892263454652341E-2</v>
      </c>
      <c r="H229" s="219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77">
        <f>(Indeks!C232/Indeks!C$163*Indeks!C$160)/(Indeks!$H232/Indeks!$H$163)</f>
        <v>0.51078018048159657</v>
      </c>
      <c r="D230" s="77">
        <f>(Indeks!D232/Indeks!D$163*Indeks!D$160)/(Indeks!$H232/Indeks!$H$163)</f>
        <v>0.32545425689668495</v>
      </c>
      <c r="E230" s="77">
        <f>(Indeks!E232/Indeks!E$163*Indeks!E$160)/(Indeks!$H232/Indeks!$H$163)</f>
        <v>6.4970983868405746E-2</v>
      </c>
      <c r="F230" s="77">
        <f>(Indeks!F232/Indeks!F$163*Indeks!F$160)/(Indeks!$H232/Indeks!$H$163)</f>
        <v>7.0923872418622455E-2</v>
      </c>
      <c r="G230" s="77">
        <f>(Indeks!G232/Indeks!G$163*Indeks!G$160)/(Indeks!$H232/Indeks!$H$163)</f>
        <v>2.7870706334690094E-2</v>
      </c>
      <c r="H230" s="77">
        <f t="shared" si="31"/>
        <v>0.99999999999999978</v>
      </c>
    </row>
    <row r="231" spans="1:8" ht="13.5" thickBot="1" x14ac:dyDescent="0.25">
      <c r="A231" s="30">
        <f t="shared" si="32"/>
        <v>2023</v>
      </c>
      <c r="B231" s="31" t="s">
        <v>18</v>
      </c>
      <c r="C231" s="252">
        <f>(Indeks!C233/Indeks!C$163*Indeks!C$160)/(Indeks!$H233/Indeks!$H$163)</f>
        <v>0.5103834633538562</v>
      </c>
      <c r="D231" s="252">
        <f>(Indeks!D233/Indeks!D$163*Indeks!D$160)/(Indeks!$H233/Indeks!$H$163)</f>
        <v>0.32520148029543705</v>
      </c>
      <c r="E231" s="252">
        <f>(Indeks!E233/Indeks!E$163*Indeks!E$160)/(Indeks!$H233/Indeks!$H$163)</f>
        <v>6.5287070915237611E-2</v>
      </c>
      <c r="F231" s="252">
        <f>(Indeks!F233/Indeks!F$163*Indeks!F$160)/(Indeks!$H233/Indeks!$H$163)</f>
        <v>7.1278925959814873E-2</v>
      </c>
      <c r="G231" s="252">
        <f>(Indeks!G233/Indeks!G$163*Indeks!G$160)/(Indeks!$H233/Indeks!$H$163)</f>
        <v>2.7849059475654237E-2</v>
      </c>
      <c r="H231" s="252">
        <f t="shared" si="31"/>
        <v>0.99999999999999989</v>
      </c>
    </row>
    <row r="232" spans="1:8" x14ac:dyDescent="0.2">
      <c r="A232" s="2">
        <v>2024</v>
      </c>
      <c r="B232" t="s">
        <v>8</v>
      </c>
      <c r="C232" s="77">
        <f>(Indeks!C234/Indeks!C$163*Indeks!C$160)/(Indeks!$H234/Indeks!$H$163)</f>
        <v>0.51183721389644388</v>
      </c>
      <c r="D232" s="77">
        <f>(Indeks!D234/Indeks!D$163*Indeks!D$160)/(Indeks!$H234/Indeks!$H$163)</f>
        <v>0.32379590429909799</v>
      </c>
      <c r="E232" s="77">
        <f>(Indeks!E234/Indeks!E$163*Indeks!E$160)/(Indeks!$H234/Indeks!$H$163)</f>
        <v>6.5265504956235718E-2</v>
      </c>
      <c r="F232" s="77">
        <f>(Indeks!F234/Indeks!F$163*Indeks!F$160)/(Indeks!$H234/Indeks!$H$163)</f>
        <v>7.1372685734618982E-2</v>
      </c>
      <c r="G232" s="77">
        <f>(Indeks!G234/Indeks!G$163*Indeks!G$160)/(Indeks!$H234/Indeks!$H$163)</f>
        <v>2.7728691113603623E-2</v>
      </c>
      <c r="H232" s="77">
        <f t="shared" ref="H232:H243" si="33">SUM(C232:G232)</f>
        <v>1.0000000000000002</v>
      </c>
    </row>
    <row r="233" spans="1:8" x14ac:dyDescent="0.2">
      <c r="A233" s="10">
        <f>A232</f>
        <v>2024</v>
      </c>
      <c r="B233" t="s">
        <v>9</v>
      </c>
      <c r="C233" s="77">
        <f>(Indeks!C235/Indeks!C$163*Indeks!C$160)/(Indeks!$H235/Indeks!$H$163)</f>
        <v>0.51149667203744598</v>
      </c>
      <c r="D233" s="77">
        <f>(Indeks!D235/Indeks!D$163*Indeks!D$160)/(Indeks!$H235/Indeks!$H$163)</f>
        <v>0.32358047240748838</v>
      </c>
      <c r="E233" s="77">
        <f>(Indeks!E235/Indeks!E$163*Indeks!E$160)/(Indeks!$H235/Indeks!$H$163)</f>
        <v>6.5483568309851775E-2</v>
      </c>
      <c r="F233" s="77">
        <f>(Indeks!F235/Indeks!F$163*Indeks!F$160)/(Indeks!$H235/Indeks!$H$163)</f>
        <v>7.1729044926975294E-2</v>
      </c>
      <c r="G233" s="77">
        <f>(Indeks!G235/Indeks!G$163*Indeks!G$160)/(Indeks!$H235/Indeks!$H$163)</f>
        <v>2.771024231823855E-2</v>
      </c>
      <c r="H233" s="77">
        <f t="shared" si="33"/>
        <v>1</v>
      </c>
    </row>
    <row r="234" spans="1:8" x14ac:dyDescent="0.2">
      <c r="A234" s="12">
        <f t="shared" ref="A234:A243" si="34">A233</f>
        <v>2024</v>
      </c>
      <c r="B234" s="13" t="s">
        <v>10</v>
      </c>
      <c r="C234" s="78">
        <f>(Indeks!C236/Indeks!C$163*Indeks!C$160)/(Indeks!$H236/Indeks!$H$163)</f>
        <v>0.51115487948999538</v>
      </c>
      <c r="D234" s="78">
        <f>(Indeks!D236/Indeks!D$163*Indeks!D$160)/(Indeks!$H236/Indeks!$H$163)</f>
        <v>0.32336424931159047</v>
      </c>
      <c r="E234" s="78">
        <f>(Indeks!E236/Indeks!E$163*Indeks!E$160)/(Indeks!$H236/Indeks!$H$163)</f>
        <v>6.5702170368488189E-2</v>
      </c>
      <c r="F234" s="78">
        <f>(Indeks!F236/Indeks!F$163*Indeks!F$160)/(Indeks!$H236/Indeks!$H$163)</f>
        <v>7.2086975062879644E-2</v>
      </c>
      <c r="G234" s="78">
        <f>(Indeks!G236/Indeks!G$163*Indeks!G$160)/(Indeks!$H236/Indeks!$H$163)</f>
        <v>2.7691725767046343E-2</v>
      </c>
      <c r="H234" s="78">
        <f t="shared" si="33"/>
        <v>1</v>
      </c>
    </row>
    <row r="235" spans="1:8" x14ac:dyDescent="0.2">
      <c r="A235" s="17">
        <f t="shared" si="34"/>
        <v>2024</v>
      </c>
      <c r="B235" s="18" t="s">
        <v>11</v>
      </c>
      <c r="C235" s="79">
        <f>(Indeks!C237/Indeks!C$163*Indeks!C$160)/(Indeks!$H237/Indeks!$H$163)</f>
        <v>0.51260480731887748</v>
      </c>
      <c r="D235" s="79">
        <f>(Indeks!D237/Indeks!D$163*Indeks!D$160)/(Indeks!$H237/Indeks!$H$163)</f>
        <v>0.32196283304199969</v>
      </c>
      <c r="E235" s="79">
        <f>(Indeks!E237/Indeks!E$163*Indeks!E$160)/(Indeks!$H237/Indeks!$H$163)</f>
        <v>6.5679695956320491E-2</v>
      </c>
      <c r="F235" s="79">
        <f>(Indeks!F237/Indeks!F$163*Indeks!F$160)/(Indeks!$H237/Indeks!$H$163)</f>
        <v>7.2180950054097082E-2</v>
      </c>
      <c r="G235" s="79">
        <f>(Indeks!G237/Indeks!G$163*Indeks!G$160)/(Indeks!$H237/Indeks!$H$163)</f>
        <v>2.7571713628705131E-2</v>
      </c>
      <c r="H235" s="79">
        <f t="shared" si="33"/>
        <v>0.99999999999999989</v>
      </c>
    </row>
    <row r="236" spans="1:8" x14ac:dyDescent="0.2">
      <c r="A236" s="10">
        <f t="shared" si="34"/>
        <v>2024</v>
      </c>
      <c r="B236" t="s">
        <v>12</v>
      </c>
      <c r="C236" s="77">
        <f>(Indeks!C238/Indeks!C$163*Indeks!C$160)/(Indeks!$H238/Indeks!$H$163)</f>
        <v>0.51226056191995306</v>
      </c>
      <c r="D236" s="77">
        <f>(Indeks!D238/Indeks!D$163*Indeks!D$160)/(Indeks!$H238/Indeks!$H$163)</f>
        <v>0.32174661535867538</v>
      </c>
      <c r="E236" s="77">
        <f>(Indeks!E238/Indeks!E$163*Indeks!E$160)/(Indeks!$H238/Indeks!$H$163)</f>
        <v>6.5898732457912113E-2</v>
      </c>
      <c r="F236" s="77">
        <f>(Indeks!F238/Indeks!F$163*Indeks!F$160)/(Indeks!$H238/Indeks!$H$163)</f>
        <v>7.2540892722433595E-2</v>
      </c>
      <c r="G236" s="77">
        <f>(Indeks!G238/Indeks!G$163*Indeks!G$160)/(Indeks!$H238/Indeks!$H$163)</f>
        <v>2.7553197541025837E-2</v>
      </c>
      <c r="H236" s="77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78">
        <f>(Indeks!C239/Indeks!C$163*Indeks!C$160)/(Indeks!$H239/Indeks!$H$163)</f>
        <v>0.51191505587755359</v>
      </c>
      <c r="D237" s="78">
        <f>(Indeks!D239/Indeks!D$163*Indeks!D$160)/(Indeks!$H239/Indeks!$H$163)</f>
        <v>0.32152960587562762</v>
      </c>
      <c r="E237" s="78">
        <f>(Indeks!E239/Indeks!E$163*Indeks!E$160)/(Indeks!$H239/Indeks!$H$163)</f>
        <v>6.6118306746333289E-2</v>
      </c>
      <c r="F237" s="78">
        <f>(Indeks!F239/Indeks!F$163*Indeks!F$160)/(Indeks!$H239/Indeks!$H$163)</f>
        <v>7.2902417853956916E-2</v>
      </c>
      <c r="G237" s="78">
        <f>(Indeks!G239/Indeks!G$163*Indeks!G$160)/(Indeks!$H239/Indeks!$H$163)</f>
        <v>2.7534613646528535E-2</v>
      </c>
      <c r="H237" s="78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79">
        <f>(Indeks!C240/Indeks!C$163*Indeks!C$160)/(Indeks!$H240/Indeks!$H$163)</f>
        <v>0.51336112906488929</v>
      </c>
      <c r="D238" s="79">
        <f>(Indeks!D240/Indeks!D$163*Indeks!D$160)/(Indeks!$H240/Indeks!$H$163)</f>
        <v>0.32013239227400186</v>
      </c>
      <c r="E238" s="79">
        <f>(Indeks!E240/Indeks!E$163*Indeks!E$160)/(Indeks!$H240/Indeks!$H$163)</f>
        <v>6.6094916084207991E-2</v>
      </c>
      <c r="F238" s="79">
        <f>(Indeks!F240/Indeks!F$163*Indeks!F$160)/(Indeks!$H240/Indeks!$H$163)</f>
        <v>7.299660116767652E-2</v>
      </c>
      <c r="G238" s="79">
        <f>(Indeks!G240/Indeks!G$163*Indeks!G$160)/(Indeks!$H240/Indeks!$H$163)</f>
        <v>2.7414961409224694E-2</v>
      </c>
      <c r="H238" s="79">
        <f t="shared" si="33"/>
        <v>1.0000000000000004</v>
      </c>
    </row>
    <row r="239" spans="1:8" x14ac:dyDescent="0.2">
      <c r="A239" s="10">
        <f t="shared" si="34"/>
        <v>2024</v>
      </c>
      <c r="B239" t="s">
        <v>14</v>
      </c>
      <c r="C239" s="77">
        <f>(Indeks!C241/Indeks!C$163*Indeks!C$160)/(Indeks!$H241/Indeks!$H$163)</f>
        <v>0.51301315468648567</v>
      </c>
      <c r="D239" s="77">
        <f>(Indeks!D241/Indeks!D$163*Indeks!D$160)/(Indeks!$H241/Indeks!$H$163)</f>
        <v>0.31991539518578965</v>
      </c>
      <c r="E239" s="77">
        <f>(Indeks!E241/Indeks!E$163*Indeks!E$160)/(Indeks!$H241/Indeks!$H$163)</f>
        <v>6.6314920939042801E-2</v>
      </c>
      <c r="F239" s="77">
        <f>(Indeks!F241/Indeks!F$163*Indeks!F$160)/(Indeks!$H241/Indeks!$H$163)</f>
        <v>7.3360150612506489E-2</v>
      </c>
      <c r="G239" s="77">
        <f>(Indeks!G241/Indeks!G$163*Indeks!G$160)/(Indeks!$H241/Indeks!$H$163)</f>
        <v>2.7396378576175547E-2</v>
      </c>
      <c r="H239" s="77">
        <f t="shared" si="33"/>
        <v>1.0000000000000002</v>
      </c>
    </row>
    <row r="240" spans="1:8" x14ac:dyDescent="0.2">
      <c r="A240" s="12">
        <f t="shared" si="34"/>
        <v>2024</v>
      </c>
      <c r="B240" s="13" t="s">
        <v>15</v>
      </c>
      <c r="C240" s="78">
        <f>(Indeks!C242/Indeks!C$163*Indeks!C$160)/(Indeks!$H242/Indeks!$H$163)</f>
        <v>0.51266390972792975</v>
      </c>
      <c r="D240" s="78">
        <f>(Indeks!D242/Indeks!D$163*Indeks!D$160)/(Indeks!$H242/Indeks!$H$163)</f>
        <v>0.31969760576282386</v>
      </c>
      <c r="E240" s="78">
        <f>(Indeks!E242/Indeks!E$163*Indeks!E$160)/(Indeks!$H242/Indeks!$H$163)</f>
        <v>6.6535462593700467E-2</v>
      </c>
      <c r="F240" s="78">
        <f>(Indeks!F242/Indeks!F$163*Indeks!F$160)/(Indeks!$H242/Indeks!$H$163)</f>
        <v>7.3725294025055538E-2</v>
      </c>
      <c r="G240" s="78">
        <f>(Indeks!G242/Indeks!G$163*Indeks!G$160)/(Indeks!$H242/Indeks!$H$163)</f>
        <v>2.7377727890490377E-2</v>
      </c>
      <c r="H240" s="78">
        <f t="shared" si="33"/>
        <v>1</v>
      </c>
    </row>
    <row r="241" spans="1:8" x14ac:dyDescent="0.2">
      <c r="A241" s="10">
        <f t="shared" si="34"/>
        <v>2024</v>
      </c>
      <c r="B241" t="s">
        <v>16</v>
      </c>
      <c r="C241" s="79">
        <f>(Indeks!C243/Indeks!C$163*Indeks!C$160)/(Indeks!$H243/Indeks!$H$163)</f>
        <v>0.51410609681377628</v>
      </c>
      <c r="D241" s="79">
        <f>(Indeks!D243/Indeks!D$163*Indeks!D$160)/(Indeks!$H243/Indeks!$H$163)</f>
        <v>0.3183046373839209</v>
      </c>
      <c r="E241" s="79">
        <f>(Indeks!E243/Indeks!E$163*Indeks!E$160)/(Indeks!$H243/Indeks!$H$163)</f>
        <v>6.6511147927603084E-2</v>
      </c>
      <c r="F241" s="79">
        <f>(Indeks!F243/Indeks!F$163*Indeks!F$160)/(Indeks!$H243/Indeks!$H$163)</f>
        <v>7.3819678676242742E-2</v>
      </c>
      <c r="G241" s="79">
        <f>(Indeks!G243/Indeks!G$163*Indeks!G$160)/(Indeks!$H243/Indeks!$H$163)</f>
        <v>2.7258439198456955E-2</v>
      </c>
      <c r="H241" s="79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77">
        <f>(Indeks!C244/Indeks!C$163*Indeks!C$160)/(Indeks!$H244/Indeks!$H$163)</f>
        <v>0.51375436810250286</v>
      </c>
      <c r="D242" s="77">
        <f>(Indeks!D244/Indeks!D$163*Indeks!D$160)/(Indeks!$H244/Indeks!$H$163)</f>
        <v>0.31808686739326469</v>
      </c>
      <c r="E242" s="77">
        <f>(Indeks!E244/Indeks!E$163*Indeks!E$160)/(Indeks!$H244/Indeks!$H$163)</f>
        <v>6.6732116196176333E-2</v>
      </c>
      <c r="F242" s="77">
        <f>(Indeks!F244/Indeks!F$163*Indeks!F$160)/(Indeks!$H244/Indeks!$H$163)</f>
        <v>7.4186858131173122E-2</v>
      </c>
      <c r="G242" s="77">
        <f>(Indeks!G244/Indeks!G$163*Indeks!G$160)/(Indeks!$H244/Indeks!$H$163)</f>
        <v>2.7239790176883355E-2</v>
      </c>
      <c r="H242" s="77">
        <f t="shared" si="33"/>
        <v>1.0000000000000004</v>
      </c>
    </row>
    <row r="243" spans="1:8" x14ac:dyDescent="0.2">
      <c r="A243" s="10">
        <f t="shared" si="34"/>
        <v>2024</v>
      </c>
      <c r="B243" t="s">
        <v>18</v>
      </c>
      <c r="C243" s="77">
        <f>(Indeks!C245/Indeks!C$163*Indeks!C$160)/(Indeks!$H245/Indeks!$H$163)</f>
        <v>0.51340135889504113</v>
      </c>
      <c r="D243" s="77">
        <f>(Indeks!D245/Indeks!D$163*Indeks!D$160)/(Indeks!$H245/Indeks!$H$163)</f>
        <v>0.31786830459373622</v>
      </c>
      <c r="E243" s="77">
        <f>(Indeks!E245/Indeks!E$163*Indeks!E$160)/(Indeks!$H245/Indeks!$H$163)</f>
        <v>6.6953620208094283E-2</v>
      </c>
      <c r="F243" s="77">
        <f>(Indeks!F245/Indeks!F$163*Indeks!F$160)/(Indeks!$H245/Indeks!$H$163)</f>
        <v>7.4555643041056399E-2</v>
      </c>
      <c r="G243" s="77">
        <f>(Indeks!G245/Indeks!G$163*Indeks!G$160)/(Indeks!$H245/Indeks!$H$163)</f>
        <v>2.7221073262071942E-2</v>
      </c>
      <c r="H243" s="77">
        <f t="shared" si="33"/>
        <v>0.99999999999999989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2"/>
  <sheetViews>
    <sheetView topLeftCell="A198" zoomScaleNormal="100" workbookViewId="0">
      <selection activeCell="L220" sqref="L22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4" t="s">
        <v>30</v>
      </c>
      <c r="C165" s="205">
        <f>Indeks!H168</f>
        <v>126.21192405818607</v>
      </c>
      <c r="D165" s="206">
        <f t="shared" si="20"/>
        <v>3.404625247157342E-3</v>
      </c>
      <c r="E165" s="206"/>
      <c r="F165" s="206"/>
      <c r="G165" s="206"/>
      <c r="H165" s="207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4" t="s">
        <v>30</v>
      </c>
      <c r="C177" s="205">
        <f>Indeks!H180</f>
        <v>131.03215065216111</v>
      </c>
      <c r="D177" s="206">
        <f t="shared" si="22"/>
        <v>6.7031131723540062E-3</v>
      </c>
      <c r="E177" s="206"/>
      <c r="F177" s="206"/>
      <c r="G177" s="206"/>
      <c r="H177" s="207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4" t="s">
        <v>30</v>
      </c>
      <c r="C189" s="205">
        <f>Indeks!H192</f>
        <v>126.18225582763007</v>
      </c>
      <c r="D189" s="206">
        <f t="shared" si="24"/>
        <v>-6.1442204466057946E-3</v>
      </c>
      <c r="E189" s="206"/>
      <c r="F189" s="206"/>
      <c r="G189" s="206"/>
      <c r="H189" s="207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x14ac:dyDescent="0.2">
      <c r="A195" s="2">
        <v>2021</v>
      </c>
      <c r="B195" s="255" t="s">
        <v>8</v>
      </c>
      <c r="C195" s="256">
        <f>Indeks!H198</f>
        <v>129.14574686240405</v>
      </c>
      <c r="D195" s="257">
        <f t="shared" ref="D195:D206" si="26">(C195-C194)/C194</f>
        <v>6.3350748842902534E-3</v>
      </c>
      <c r="E195" s="257"/>
      <c r="F195" s="257"/>
      <c r="G195" s="257"/>
      <c r="H195" s="256"/>
    </row>
    <row r="196" spans="1:8" x14ac:dyDescent="0.2">
      <c r="A196" s="258">
        <f>A195</f>
        <v>2021</v>
      </c>
      <c r="B196" s="259" t="s">
        <v>9</v>
      </c>
      <c r="C196" s="260">
        <f>Indeks!H199</f>
        <v>130.13621118537159</v>
      </c>
      <c r="D196" s="261">
        <f t="shared" si="26"/>
        <v>7.6693530141787166E-3</v>
      </c>
      <c r="E196" s="261"/>
      <c r="F196" s="261"/>
      <c r="G196" s="261"/>
      <c r="H196" s="260"/>
    </row>
    <row r="197" spans="1:8" x14ac:dyDescent="0.2">
      <c r="A197" s="262">
        <f t="shared" ref="A197:A206" si="27">A196</f>
        <v>2021</v>
      </c>
      <c r="B197" s="263" t="s">
        <v>10</v>
      </c>
      <c r="C197" s="264">
        <f>Indeks!H200</f>
        <v>131.84898453595838</v>
      </c>
      <c r="D197" s="265">
        <f t="shared" si="26"/>
        <v>1.3161389401041028E-2</v>
      </c>
      <c r="E197" s="265">
        <f>(SUM(C195:C197)-SUM(C192:C194))/SUM(C192:C194)</f>
        <v>1.2658689345216793E-2</v>
      </c>
      <c r="F197" s="265"/>
      <c r="G197" s="265"/>
      <c r="H197" s="264"/>
    </row>
    <row r="198" spans="1:8" x14ac:dyDescent="0.2">
      <c r="A198" s="258">
        <f t="shared" si="27"/>
        <v>2021</v>
      </c>
      <c r="B198" s="266" t="s">
        <v>11</v>
      </c>
      <c r="C198" s="260">
        <f>Indeks!H201</f>
        <v>134.23984590165236</v>
      </c>
      <c r="D198" s="261">
        <f t="shared" si="26"/>
        <v>1.8133331660525106E-2</v>
      </c>
      <c r="E198" s="261"/>
      <c r="F198" s="261"/>
      <c r="G198" s="261"/>
      <c r="H198" s="260"/>
    </row>
    <row r="199" spans="1:8" x14ac:dyDescent="0.2">
      <c r="A199" s="268">
        <f t="shared" si="27"/>
        <v>2021</v>
      </c>
      <c r="B199" s="269" t="s">
        <v>12</v>
      </c>
      <c r="C199" s="270">
        <f>Indeks!H202</f>
        <v>135.89268628661833</v>
      </c>
      <c r="D199" s="271">
        <f t="shared" si="26"/>
        <v>1.2312591495202431E-2</v>
      </c>
      <c r="E199" s="271"/>
      <c r="F199" s="271"/>
      <c r="G199" s="271"/>
      <c r="H199" s="270"/>
    </row>
    <row r="200" spans="1:8" x14ac:dyDescent="0.2">
      <c r="A200" s="272">
        <f t="shared" si="27"/>
        <v>2021</v>
      </c>
      <c r="B200" s="273" t="s">
        <v>13</v>
      </c>
      <c r="C200" s="274">
        <f>Indeks!H203</f>
        <v>135.10863552588924</v>
      </c>
      <c r="D200" s="275">
        <f t="shared" si="26"/>
        <v>-5.7696317745563235E-3</v>
      </c>
      <c r="E200" s="275">
        <f>(SUM(C198:C200)-SUM(C195:C197))/SUM(C195:C197)</f>
        <v>3.6075450940333445E-2</v>
      </c>
      <c r="F200" s="275">
        <f>(SUM(C195:C200)-SUM(C189:C194))/SUM(C189:C194)</f>
        <v>3.6077172596997789E-2</v>
      </c>
      <c r="G200" s="275"/>
      <c r="H200" s="274"/>
    </row>
    <row r="201" spans="1:8" x14ac:dyDescent="0.2">
      <c r="A201" s="276">
        <f t="shared" si="27"/>
        <v>2021</v>
      </c>
      <c r="B201" s="277" t="s">
        <v>30</v>
      </c>
      <c r="C201" s="278">
        <f>Indeks!H204</f>
        <v>136.45974306767161</v>
      </c>
      <c r="D201" s="279">
        <f t="shared" si="26"/>
        <v>1.0000156811023916E-2</v>
      </c>
      <c r="E201" s="279"/>
      <c r="F201" s="279"/>
      <c r="G201" s="279"/>
      <c r="H201" s="280"/>
    </row>
    <row r="202" spans="1:8" x14ac:dyDescent="0.2">
      <c r="A202" s="258">
        <f t="shared" si="27"/>
        <v>2021</v>
      </c>
      <c r="B202" s="281" t="s">
        <v>14</v>
      </c>
      <c r="C202" s="260">
        <f>Indeks!H205</f>
        <v>136.66215614634447</v>
      </c>
      <c r="D202" s="261">
        <f t="shared" si="26"/>
        <v>1.4833171609628746E-3</v>
      </c>
      <c r="E202" s="261"/>
      <c r="F202" s="261"/>
      <c r="G202" s="261"/>
      <c r="H202" s="260"/>
    </row>
    <row r="203" spans="1:8" x14ac:dyDescent="0.2">
      <c r="A203" s="262">
        <f t="shared" si="27"/>
        <v>2021</v>
      </c>
      <c r="B203" s="282" t="s">
        <v>15</v>
      </c>
      <c r="C203" s="264">
        <f>Indeks!H206</f>
        <v>137.84699365313082</v>
      </c>
      <c r="D203" s="265">
        <f t="shared" si="26"/>
        <v>8.6698288699438488E-3</v>
      </c>
      <c r="E203" s="265">
        <f>(SUM(C201:C203)-SUM(C198:C200))/SUM(C198:C200)</f>
        <v>1.4134114718145007E-2</v>
      </c>
      <c r="F203" s="265"/>
      <c r="G203" s="265"/>
      <c r="H203" s="264"/>
    </row>
    <row r="204" spans="1:8" x14ac:dyDescent="0.2">
      <c r="A204" s="283">
        <f t="shared" si="27"/>
        <v>2021</v>
      </c>
      <c r="B204" s="284" t="s">
        <v>16</v>
      </c>
      <c r="C204" s="260">
        <f>Indeks!H207</f>
        <v>137.84454756423466</v>
      </c>
      <c r="D204" s="261">
        <f t="shared" si="26"/>
        <v>-1.7744956428424796E-5</v>
      </c>
      <c r="E204" s="261"/>
      <c r="F204" s="261"/>
      <c r="G204" s="261"/>
      <c r="H204" s="260"/>
    </row>
    <row r="205" spans="1:8" x14ac:dyDescent="0.2">
      <c r="A205" s="268">
        <f t="shared" si="27"/>
        <v>2021</v>
      </c>
      <c r="B205" s="286" t="s">
        <v>17</v>
      </c>
      <c r="C205" s="270">
        <f>Indeks!H208</f>
        <v>138.56189596334872</v>
      </c>
      <c r="D205" s="271">
        <f t="shared" si="26"/>
        <v>5.2040389829694127E-3</v>
      </c>
      <c r="E205" s="271"/>
      <c r="F205" s="271"/>
      <c r="G205" s="271"/>
      <c r="H205" s="270"/>
    </row>
    <row r="206" spans="1:8" ht="13.5" thickBot="1" x14ac:dyDescent="0.25">
      <c r="A206" s="287">
        <f t="shared" si="27"/>
        <v>2021</v>
      </c>
      <c r="B206" s="288" t="s">
        <v>18</v>
      </c>
      <c r="C206" s="289">
        <f>Indeks!H209</f>
        <v>141.4645862060365</v>
      </c>
      <c r="D206" s="290">
        <f t="shared" si="26"/>
        <v>2.0948690276694677E-2</v>
      </c>
      <c r="E206" s="290">
        <f>(SUM(C204:C206)-SUM(C201:C203))/SUM(C201:C203)</f>
        <v>1.679479149460655E-2</v>
      </c>
      <c r="F206" s="290">
        <f>(SUM(C201:C206)-SUM(C195:C200))/SUM(C195:C200)</f>
        <v>4.0769650120881233E-2</v>
      </c>
      <c r="G206" s="290">
        <f>(SUM(C195:C206)-SUM(C183:C194))/SUM(C183:C194)</f>
        <v>4.904529012364052E-2</v>
      </c>
      <c r="H206" s="289">
        <f>(C195+C196+C197+C198+C199+C200+C201+C202+C203+C204+C205+C206)/12</f>
        <v>135.43433607488839</v>
      </c>
    </row>
    <row r="207" spans="1:8" x14ac:dyDescent="0.2">
      <c r="A207" s="2">
        <v>2022</v>
      </c>
      <c r="B207" s="255" t="s">
        <v>8</v>
      </c>
      <c r="C207" s="256">
        <f>Indeks!H210</f>
        <v>142.66633079846494</v>
      </c>
      <c r="D207" s="257">
        <f t="shared" ref="D207:D218" si="28">(C207-C206)/C206</f>
        <v>8.4950207303342747E-3</v>
      </c>
      <c r="E207" s="257"/>
      <c r="F207" s="257"/>
      <c r="G207" s="257"/>
      <c r="H207" s="256"/>
    </row>
    <row r="208" spans="1:8" x14ac:dyDescent="0.2">
      <c r="A208" s="10">
        <f>A207</f>
        <v>2022</v>
      </c>
      <c r="B208" t="s">
        <v>9</v>
      </c>
      <c r="C208" s="260">
        <f>Indeks!H211</f>
        <v>142.67904981561259</v>
      </c>
      <c r="D208" s="261">
        <f t="shared" si="28"/>
        <v>8.9152199236223198E-5</v>
      </c>
      <c r="E208" s="261"/>
      <c r="F208" s="261"/>
      <c r="G208" s="261"/>
      <c r="H208" s="260"/>
    </row>
    <row r="209" spans="1:8" x14ac:dyDescent="0.2">
      <c r="A209" s="262">
        <f t="shared" ref="A209:A218" si="29">A208</f>
        <v>2022</v>
      </c>
      <c r="B209" s="263" t="s">
        <v>10</v>
      </c>
      <c r="C209" s="264">
        <f>Indeks!H212</f>
        <v>151.37779186562898</v>
      </c>
      <c r="D209" s="265">
        <f t="shared" si="28"/>
        <v>6.0967199187673148E-2</v>
      </c>
      <c r="E209" s="265">
        <f>(SUM(C207:C209)-SUM(C204:C206))/SUM(C204:C206)</f>
        <v>4.5114739727480535E-2</v>
      </c>
      <c r="F209" s="265"/>
      <c r="G209" s="265"/>
      <c r="H209" s="264"/>
    </row>
    <row r="210" spans="1:8" x14ac:dyDescent="0.2">
      <c r="A210" s="17">
        <f t="shared" si="29"/>
        <v>2022</v>
      </c>
      <c r="B210" s="18" t="s">
        <v>11</v>
      </c>
      <c r="C210" s="260">
        <f>Indeks!H213</f>
        <v>154.60870435421765</v>
      </c>
      <c r="D210" s="261">
        <f t="shared" si="28"/>
        <v>2.1343371763915028E-2</v>
      </c>
      <c r="E210" s="261"/>
      <c r="F210" s="261"/>
      <c r="G210" s="261"/>
      <c r="H210" s="260"/>
    </row>
    <row r="211" spans="1:8" x14ac:dyDescent="0.2">
      <c r="A211" s="268">
        <f t="shared" si="29"/>
        <v>2022</v>
      </c>
      <c r="B211" s="269" t="s">
        <v>12</v>
      </c>
      <c r="C211" s="270">
        <f>Indeks!H214</f>
        <v>161.16319043430852</v>
      </c>
      <c r="D211" s="271">
        <f t="shared" si="28"/>
        <v>4.2394030190397003E-2</v>
      </c>
      <c r="E211" s="271"/>
      <c r="F211" s="271"/>
      <c r="G211" s="271"/>
      <c r="H211" s="270"/>
    </row>
    <row r="212" spans="1:8" ht="13.5" thickBot="1" x14ac:dyDescent="0.25">
      <c r="A212" s="287">
        <f t="shared" si="29"/>
        <v>2022</v>
      </c>
      <c r="B212" s="288" t="s">
        <v>13</v>
      </c>
      <c r="C212" s="289">
        <f>Indeks!H215</f>
        <v>161.64528159953738</v>
      </c>
      <c r="D212" s="290">
        <f t="shared" si="28"/>
        <v>2.9913230429957898E-3</v>
      </c>
      <c r="E212" s="290">
        <f>(SUM(C210:C212)-SUM(C207:C209))/SUM(C207:C209)</f>
        <v>9.3180317584929756E-2</v>
      </c>
      <c r="F212" s="290">
        <f>(SUM(C207:C212)-SUM(C201:C206))/SUM(C201:C206)</f>
        <v>0.10291544113770973</v>
      </c>
      <c r="G212" s="290"/>
      <c r="H212" s="289"/>
    </row>
    <row r="213" spans="1:8" x14ac:dyDescent="0.2">
      <c r="A213" s="276">
        <f t="shared" si="29"/>
        <v>2022</v>
      </c>
      <c r="B213" s="277" t="s">
        <v>30</v>
      </c>
      <c r="C213" s="278">
        <f>Indeks!H216</f>
        <v>164.52406918097884</v>
      </c>
      <c r="D213" s="279">
        <f t="shared" si="28"/>
        <v>1.7809289284257689E-2</v>
      </c>
      <c r="E213" s="279"/>
      <c r="F213" s="279"/>
      <c r="G213" s="279"/>
      <c r="H213" s="280"/>
    </row>
    <row r="214" spans="1:8" x14ac:dyDescent="0.2">
      <c r="A214" s="258">
        <f t="shared" si="29"/>
        <v>2022</v>
      </c>
      <c r="B214" s="281" t="s">
        <v>14</v>
      </c>
      <c r="C214" s="260">
        <f>Indeks!H217</f>
        <v>167.39444295191396</v>
      </c>
      <c r="D214" s="261">
        <f t="shared" si="28"/>
        <v>1.7446527947091225E-2</v>
      </c>
      <c r="E214" s="261"/>
      <c r="F214" s="261"/>
      <c r="G214" s="261"/>
      <c r="H214" s="260"/>
    </row>
    <row r="215" spans="1:8" x14ac:dyDescent="0.2">
      <c r="A215" s="262">
        <f t="shared" si="29"/>
        <v>2022</v>
      </c>
      <c r="B215" s="282" t="s">
        <v>15</v>
      </c>
      <c r="C215" s="264">
        <f>Indeks!H218</f>
        <v>166.94707855189776</v>
      </c>
      <c r="D215" s="265">
        <f t="shared" si="28"/>
        <v>-2.6725164355946331E-3</v>
      </c>
      <c r="E215" s="265">
        <f>(SUM(C213:C215)-SUM(C210:C212))/SUM(C210:C212)</f>
        <v>4.4925937644298156E-2</v>
      </c>
      <c r="F215" s="265"/>
      <c r="G215" s="265"/>
      <c r="H215" s="264"/>
    </row>
    <row r="216" spans="1:8" x14ac:dyDescent="0.2">
      <c r="A216" s="17">
        <f t="shared" si="29"/>
        <v>2022</v>
      </c>
      <c r="B216" s="18" t="s">
        <v>16</v>
      </c>
      <c r="C216" s="260">
        <f>Indeks!H219</f>
        <v>163.85548372613056</v>
      </c>
      <c r="D216" s="261">
        <f t="shared" si="28"/>
        <v>-1.8518412257247967E-2</v>
      </c>
      <c r="E216" s="261"/>
      <c r="F216" s="261"/>
      <c r="G216" s="261"/>
      <c r="H216" s="260"/>
    </row>
    <row r="217" spans="1:8" x14ac:dyDescent="0.2">
      <c r="A217" s="268">
        <f t="shared" si="29"/>
        <v>2022</v>
      </c>
      <c r="B217" s="269" t="s">
        <v>17</v>
      </c>
      <c r="C217" s="270">
        <f>Indeks!H220</f>
        <v>167.86901231186818</v>
      </c>
      <c r="D217" s="271">
        <f t="shared" si="28"/>
        <v>2.4494319594734242E-2</v>
      </c>
      <c r="E217" s="271"/>
      <c r="F217" s="271"/>
      <c r="G217" s="271"/>
      <c r="H217" s="270"/>
    </row>
    <row r="218" spans="1:8" ht="13.5" thickBot="1" x14ac:dyDescent="0.25">
      <c r="A218" s="287">
        <f t="shared" si="29"/>
        <v>2022</v>
      </c>
      <c r="B218" s="288" t="s">
        <v>18</v>
      </c>
      <c r="C218" s="289">
        <f>Indeks!H221</f>
        <v>171.04412418274603</v>
      </c>
      <c r="D218" s="290">
        <f t="shared" si="28"/>
        <v>1.8914222626026489E-2</v>
      </c>
      <c r="E218" s="290">
        <f>(SUM(C216:C218)-SUM(C213:C215))/SUM(C213:C215)</f>
        <v>7.8238098775192631E-3</v>
      </c>
      <c r="F218" s="290">
        <f>(SUM(C213:C218)-SUM(C207:C212))/SUM(C207:C212)</f>
        <v>9.5711629123616415E-2</v>
      </c>
      <c r="G218" s="290">
        <f>(SUM(C207:C218)-SUM(C195:C206))/SUM(C195:C206)</f>
        <v>0.1787843807410219</v>
      </c>
      <c r="H218" s="289">
        <f>(C207+C208+C209+C210+C211+C212+C213+C214+C215+C216+C217+C218)/12</f>
        <v>159.64787998110876</v>
      </c>
    </row>
    <row r="219" spans="1:8" x14ac:dyDescent="0.2">
      <c r="A219" s="2">
        <v>2023</v>
      </c>
      <c r="B219" s="255" t="s">
        <v>8</v>
      </c>
      <c r="C219" s="256">
        <f>Indeks!H222</f>
        <v>167.54791150243392</v>
      </c>
      <c r="D219" s="257">
        <f t="shared" ref="D219:D230" si="30">(C219-C218)/C218</f>
        <v>-2.0440413823141376E-2</v>
      </c>
      <c r="E219" s="257"/>
      <c r="F219" s="257"/>
      <c r="G219" s="257"/>
      <c r="H219" s="256"/>
    </row>
    <row r="220" spans="1:8" x14ac:dyDescent="0.2">
      <c r="A220" s="10">
        <f>A219</f>
        <v>2023</v>
      </c>
      <c r="B220" t="s">
        <v>9</v>
      </c>
      <c r="C220" s="260">
        <f>Indeks!H223</f>
        <v>163.29482029489142</v>
      </c>
      <c r="D220" s="261">
        <f t="shared" si="30"/>
        <v>-2.5384328395407739E-2</v>
      </c>
      <c r="E220" s="261"/>
      <c r="F220" s="261"/>
      <c r="G220" s="261"/>
      <c r="H220" s="260"/>
    </row>
    <row r="221" spans="1:8" x14ac:dyDescent="0.2">
      <c r="A221" s="262">
        <f t="shared" ref="A221:A230" si="31">A220</f>
        <v>2023</v>
      </c>
      <c r="B221" s="282" t="s">
        <v>10</v>
      </c>
      <c r="C221" s="264">
        <f>Indeks!H224</f>
        <v>165.03924335743366</v>
      </c>
      <c r="D221" s="265">
        <f t="shared" si="30"/>
        <v>1.0682660107601787E-2</v>
      </c>
      <c r="E221" s="265">
        <f>(SUM(C219:C221)-SUM(C216:C218))/SUM(C216:C218)</f>
        <v>-1.3697444090608078E-2</v>
      </c>
      <c r="F221" s="265"/>
      <c r="G221" s="265"/>
      <c r="H221" s="264"/>
    </row>
    <row r="222" spans="1:8" x14ac:dyDescent="0.2">
      <c r="A222" s="17">
        <f t="shared" si="31"/>
        <v>2023</v>
      </c>
      <c r="B222" s="18" t="s">
        <v>11</v>
      </c>
      <c r="C222" s="260">
        <f>Indeks!H225</f>
        <v>162.4946987127627</v>
      </c>
      <c r="D222" s="261">
        <f t="shared" si="30"/>
        <v>-1.5417815744344619E-2</v>
      </c>
      <c r="E222" s="261"/>
      <c r="F222" s="261"/>
      <c r="G222" s="261"/>
      <c r="H222" s="260"/>
    </row>
    <row r="223" spans="1:8" x14ac:dyDescent="0.2">
      <c r="A223" s="268">
        <f t="shared" si="31"/>
        <v>2023</v>
      </c>
      <c r="B223" s="269" t="s">
        <v>12</v>
      </c>
      <c r="C223" s="270">
        <f>Indeks!H226</f>
        <v>163.23102533608559</v>
      </c>
      <c r="D223" s="271">
        <f t="shared" si="30"/>
        <v>4.5313885877869735E-3</v>
      </c>
      <c r="E223" s="271"/>
      <c r="F223" s="271"/>
      <c r="G223" s="271"/>
      <c r="H223" s="270"/>
    </row>
    <row r="224" spans="1:8" x14ac:dyDescent="0.2">
      <c r="A224" s="272">
        <f t="shared" si="31"/>
        <v>2023</v>
      </c>
      <c r="B224" s="273" t="s">
        <v>13</v>
      </c>
      <c r="C224" s="274">
        <f>Indeks!H227</f>
        <v>161.88386198763266</v>
      </c>
      <c r="D224" s="275">
        <f t="shared" si="30"/>
        <v>-8.2531084129330613E-3</v>
      </c>
      <c r="E224" s="275">
        <f>(SUM(C222:C224)-SUM(C219:C221))/SUM(C219:C221)</f>
        <v>-1.6682173446002518E-2</v>
      </c>
      <c r="F224" s="275">
        <f>(SUM(C219:C224)-SUM(C213:C218))/SUM(C213:C218)</f>
        <v>-1.8113049171806256E-2</v>
      </c>
      <c r="G224" s="275"/>
      <c r="H224" s="274"/>
    </row>
    <row r="225" spans="1:8" x14ac:dyDescent="0.2">
      <c r="A225" s="17">
        <f t="shared" si="31"/>
        <v>2023</v>
      </c>
      <c r="B225" s="22" t="s">
        <v>30</v>
      </c>
      <c r="C225" s="278">
        <f>Indeks!H228</f>
        <v>159.4990241529556</v>
      </c>
      <c r="D225" s="279">
        <f t="shared" si="30"/>
        <v>-1.4731782435850526E-2</v>
      </c>
      <c r="E225" s="279"/>
      <c r="F225" s="279"/>
      <c r="G225" s="279"/>
      <c r="H225" s="280"/>
    </row>
    <row r="226" spans="1:8" x14ac:dyDescent="0.2">
      <c r="A226" s="10">
        <f t="shared" si="31"/>
        <v>2023</v>
      </c>
      <c r="B226" t="s">
        <v>14</v>
      </c>
      <c r="C226" s="260">
        <f>Indeks!H229</f>
        <v>162.16189723418211</v>
      </c>
      <c r="D226" s="261">
        <f t="shared" si="30"/>
        <v>1.6695231180053356E-2</v>
      </c>
      <c r="E226" s="261"/>
      <c r="F226" s="261"/>
      <c r="G226" s="261"/>
      <c r="H226" s="260"/>
    </row>
    <row r="227" spans="1:8" x14ac:dyDescent="0.2">
      <c r="A227" s="12">
        <f t="shared" si="31"/>
        <v>2023</v>
      </c>
      <c r="B227" s="13" t="s">
        <v>15</v>
      </c>
      <c r="C227" s="264">
        <f>Indeks!H230</f>
        <v>161.8148166361016</v>
      </c>
      <c r="D227" s="265">
        <f t="shared" si="30"/>
        <v>-2.1403338515414735E-3</v>
      </c>
      <c r="E227" s="265">
        <f>(SUM(C225:C227)-SUM(C222:C224))/SUM(C222:C224)</f>
        <v>-8.4777824957124551E-3</v>
      </c>
      <c r="F227" s="265"/>
      <c r="G227" s="265"/>
      <c r="H227" s="264"/>
    </row>
    <row r="228" spans="1:8" x14ac:dyDescent="0.2">
      <c r="A228" s="283">
        <f t="shared" si="31"/>
        <v>2023</v>
      </c>
      <c r="B228" s="284" t="s">
        <v>16</v>
      </c>
      <c r="C228" s="260">
        <f>Indeks!H231</f>
        <v>165.5065466007517</v>
      </c>
      <c r="D228" s="261">
        <f t="shared" si="30"/>
        <v>2.2814536031964743E-2</v>
      </c>
      <c r="E228" s="261"/>
      <c r="F228" s="261"/>
      <c r="G228" s="261"/>
      <c r="H228" s="260"/>
    </row>
    <row r="229" spans="1:8" x14ac:dyDescent="0.2">
      <c r="A229" s="10">
        <f t="shared" si="31"/>
        <v>2023</v>
      </c>
      <c r="B229" t="s">
        <v>17</v>
      </c>
      <c r="C229" s="156">
        <f>Indeks!H232</f>
        <v>165.6345607399258</v>
      </c>
      <c r="D229" s="133">
        <f t="shared" si="30"/>
        <v>7.7346873464107977E-4</v>
      </c>
      <c r="E229" s="133"/>
      <c r="F229" s="133"/>
      <c r="G229" s="133"/>
      <c r="H229" s="133"/>
    </row>
    <row r="230" spans="1:8" ht="13.5" thickBot="1" x14ac:dyDescent="0.25">
      <c r="A230" s="30">
        <f t="shared" si="31"/>
        <v>2023</v>
      </c>
      <c r="B230" s="31" t="s">
        <v>18</v>
      </c>
      <c r="C230" s="251">
        <f>Indeks!H233</f>
        <v>165.76330720588589</v>
      </c>
      <c r="D230" s="252">
        <f t="shared" si="30"/>
        <v>7.7729228359680984E-4</v>
      </c>
      <c r="E230" s="253">
        <f>(SUM(C228:C230)-SUM(C225:C227))/SUM(C225:C227)</f>
        <v>2.7775285225747313E-2</v>
      </c>
      <c r="F230" s="253">
        <f>(SUM(C225:C230)-SUM(C219:C224))/SUM(C219:C224)</f>
        <v>-3.163635301220684E-3</v>
      </c>
      <c r="G230" s="253">
        <f>(SUM(C219:C230)-SUM(C207:C218))/SUM(C207:C218)</f>
        <v>2.5105852743669863E-2</v>
      </c>
      <c r="H230" s="254">
        <f>(C219+C220+C221+C222+C223+C224+C225+C226+C227+C228+C229+C230)/12</f>
        <v>163.65597614675355</v>
      </c>
    </row>
    <row r="231" spans="1:8" x14ac:dyDescent="0.2">
      <c r="A231" s="2">
        <v>2024</v>
      </c>
      <c r="B231" t="s">
        <v>8</v>
      </c>
      <c r="C231" s="156">
        <f>Indeks!H234</f>
        <v>166.48287444743801</v>
      </c>
      <c r="D231" s="133">
        <f t="shared" ref="D231:D242" si="32">(C231-C230)/C230</f>
        <v>4.3409319811553732E-3</v>
      </c>
      <c r="E231" s="133"/>
      <c r="F231" s="133"/>
      <c r="G231" s="133"/>
      <c r="H231" s="133"/>
    </row>
    <row r="232" spans="1:8" x14ac:dyDescent="0.2">
      <c r="A232" s="10">
        <f>A231</f>
        <v>2024</v>
      </c>
      <c r="B232" t="s">
        <v>9</v>
      </c>
      <c r="C232" s="156">
        <f>Indeks!H235</f>
        <v>166.59371463595733</v>
      </c>
      <c r="D232" s="133">
        <f t="shared" si="32"/>
        <v>6.6577531705408748E-4</v>
      </c>
      <c r="E232" s="133"/>
      <c r="F232" s="133"/>
      <c r="G232" s="133"/>
      <c r="H232" s="133"/>
    </row>
    <row r="233" spans="1:8" x14ac:dyDescent="0.2">
      <c r="A233" s="12">
        <f t="shared" ref="A233:A242" si="33">A232</f>
        <v>2024</v>
      </c>
      <c r="B233" s="13" t="s">
        <v>10</v>
      </c>
      <c r="C233" s="157">
        <f>Indeks!H236</f>
        <v>166.70511040346227</v>
      </c>
      <c r="D233" s="159">
        <f t="shared" si="32"/>
        <v>6.6866728884921176E-4</v>
      </c>
      <c r="E233" s="159">
        <f>(SUM(C231:C233)-SUM(C228:C230))/SUM(C228:C230)</f>
        <v>5.7904193564466333E-3</v>
      </c>
      <c r="F233" s="159"/>
      <c r="G233" s="159"/>
      <c r="H233" s="159"/>
    </row>
    <row r="234" spans="1:8" x14ac:dyDescent="0.2">
      <c r="A234" s="17">
        <f t="shared" si="33"/>
        <v>2024</v>
      </c>
      <c r="B234" s="18" t="s">
        <v>11</v>
      </c>
      <c r="C234" s="158">
        <f>Indeks!H237</f>
        <v>167.4307322143278</v>
      </c>
      <c r="D234" s="160">
        <f t="shared" si="32"/>
        <v>4.3527268546799322E-3</v>
      </c>
      <c r="E234" s="160"/>
      <c r="F234" s="160"/>
      <c r="G234" s="160"/>
      <c r="H234" s="133"/>
    </row>
    <row r="235" spans="1:8" x14ac:dyDescent="0.2">
      <c r="A235" s="10">
        <f t="shared" si="33"/>
        <v>2024</v>
      </c>
      <c r="B235" t="s">
        <v>12</v>
      </c>
      <c r="C235" s="156">
        <f>Indeks!H238</f>
        <v>167.54324772594032</v>
      </c>
      <c r="D235" s="133">
        <f t="shared" si="32"/>
        <v>6.7201230099432011E-4</v>
      </c>
      <c r="E235" s="133"/>
      <c r="F235" s="133"/>
      <c r="G235" s="133"/>
      <c r="H235" s="133"/>
    </row>
    <row r="236" spans="1:8" x14ac:dyDescent="0.2">
      <c r="A236" s="12">
        <f t="shared" si="33"/>
        <v>2024</v>
      </c>
      <c r="B236" s="13" t="s">
        <v>13</v>
      </c>
      <c r="C236" s="157">
        <f>Indeks!H239</f>
        <v>167.65632743279383</v>
      </c>
      <c r="D236" s="159">
        <f t="shared" si="32"/>
        <v>6.7492846407324239E-4</v>
      </c>
      <c r="E236" s="159">
        <f>(SUM(C234:C236)-SUM(C231:C233))/SUM(C231:C233)</f>
        <v>5.699704269142067E-3</v>
      </c>
      <c r="F236" s="159">
        <f>(SUM(C231:C236)-SUM(C225:C230))/SUM(C225:C230)</f>
        <v>2.24727665409854E-2</v>
      </c>
      <c r="G236" s="159"/>
      <c r="H236" s="159"/>
    </row>
    <row r="237" spans="1:8" x14ac:dyDescent="0.2">
      <c r="A237" s="17">
        <f t="shared" si="33"/>
        <v>2024</v>
      </c>
      <c r="B237" s="22" t="s">
        <v>30</v>
      </c>
      <c r="C237" s="158">
        <f>Indeks!H240</f>
        <v>168.38806126148813</v>
      </c>
      <c r="D237" s="160">
        <f t="shared" si="32"/>
        <v>4.3644868040403854E-3</v>
      </c>
      <c r="E237" s="160"/>
      <c r="F237" s="160"/>
      <c r="G237" s="160"/>
      <c r="H237" s="133"/>
    </row>
    <row r="238" spans="1:8" x14ac:dyDescent="0.2">
      <c r="A238" s="10">
        <f t="shared" si="33"/>
        <v>2024</v>
      </c>
      <c r="B238" t="s">
        <v>14</v>
      </c>
      <c r="C238" s="156">
        <f>Indeks!H241</f>
        <v>168.50227808110142</v>
      </c>
      <c r="D238" s="133">
        <f t="shared" si="32"/>
        <v>6.7829523517064455E-4</v>
      </c>
      <c r="E238" s="133"/>
      <c r="F238" s="133"/>
      <c r="G238" s="133"/>
      <c r="H238" s="133"/>
    </row>
    <row r="239" spans="1:8" x14ac:dyDescent="0.2">
      <c r="A239" s="12">
        <f t="shared" si="33"/>
        <v>2024</v>
      </c>
      <c r="B239" s="13" t="s">
        <v>15</v>
      </c>
      <c r="C239" s="157">
        <f>Indeks!H242</f>
        <v>168.61706784883879</v>
      </c>
      <c r="D239" s="159">
        <f t="shared" si="32"/>
        <v>6.8123570223848435E-4</v>
      </c>
      <c r="E239" s="159">
        <f>(SUM(C237:C239)-SUM(C234:C236))/SUM(C234:C236)</f>
        <v>5.7240874180532648E-3</v>
      </c>
      <c r="F239" s="159"/>
      <c r="G239" s="159"/>
      <c r="H239" s="159"/>
    </row>
    <row r="240" spans="1:8" x14ac:dyDescent="0.2">
      <c r="A240" s="17">
        <f t="shared" si="33"/>
        <v>2024</v>
      </c>
      <c r="B240" s="18" t="s">
        <v>16</v>
      </c>
      <c r="C240" s="158">
        <f>Indeks!H243</f>
        <v>169.35497178133309</v>
      </c>
      <c r="D240" s="133">
        <f t="shared" si="32"/>
        <v>4.3762113877808531E-3</v>
      </c>
      <c r="E240" s="160"/>
      <c r="F240" s="160"/>
      <c r="G240" s="160"/>
      <c r="H240" s="133"/>
    </row>
    <row r="241" spans="1:8" x14ac:dyDescent="0.2">
      <c r="A241" s="10">
        <f t="shared" si="33"/>
        <v>2024</v>
      </c>
      <c r="B241" t="s">
        <v>17</v>
      </c>
      <c r="C241" s="156">
        <f>Indeks!H244</f>
        <v>169.47091630593619</v>
      </c>
      <c r="D241" s="133">
        <f t="shared" si="32"/>
        <v>6.8462427399414529E-4</v>
      </c>
      <c r="E241" s="133"/>
      <c r="F241" s="133"/>
      <c r="G241" s="133"/>
      <c r="H241" s="133"/>
    </row>
    <row r="242" spans="1:8" ht="13.5" thickBot="1" x14ac:dyDescent="0.25">
      <c r="A242" s="30">
        <f t="shared" si="33"/>
        <v>2024</v>
      </c>
      <c r="B242" s="31" t="s">
        <v>18</v>
      </c>
      <c r="C242" s="251">
        <f>Indeks!H245</f>
        <v>169.5874426703808</v>
      </c>
      <c r="D242" s="252">
        <f t="shared" si="32"/>
        <v>6.875891567981585E-4</v>
      </c>
      <c r="E242" s="253">
        <f>(SUM(C240:C242)-SUM(C237:C239))/SUM(C237:C239)</f>
        <v>5.7485281617670296E-3</v>
      </c>
      <c r="F242" s="253">
        <f>(SUM(C237:C242)-SUM(C231:C236))/SUM(C231:C236)</f>
        <v>1.14810387449471E-2</v>
      </c>
      <c r="G242" s="253">
        <f>(SUM(C231:C242)-SUM(C219:C230))/SUM(C219:C230)</f>
        <v>2.6713064137721211E-2</v>
      </c>
      <c r="H242" s="254">
        <f>(C231+C232+C233+C234+C235+C236+C237+C238+C239+C240+C241+C242)/12</f>
        <v>168.02772873408315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A229" sqref="A229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201" t="s">
        <v>76</v>
      </c>
      <c r="B6" s="296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296"/>
      <c r="D7" s="6"/>
      <c r="E7" s="61"/>
      <c r="F7" s="61"/>
    </row>
    <row r="8" spans="1:6" ht="66" customHeight="1" x14ac:dyDescent="0.2">
      <c r="A8" s="112"/>
      <c r="B8" s="218" t="s">
        <v>110</v>
      </c>
      <c r="D8" s="6"/>
      <c r="E8" s="61"/>
      <c r="F8" s="61"/>
    </row>
    <row r="9" spans="1:6" ht="66" customHeight="1" x14ac:dyDescent="0.2">
      <c r="A9" s="112"/>
      <c r="B9" s="297" t="s">
        <v>111</v>
      </c>
      <c r="C9" s="297"/>
      <c r="D9" s="297"/>
      <c r="E9" s="297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70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7"/>
      <c r="Z26" s="177"/>
    </row>
    <row r="27" spans="17:26" x14ac:dyDescent="0.2">
      <c r="Y27" s="177"/>
      <c r="Z27" s="177"/>
    </row>
    <row r="32" spans="17:26" x14ac:dyDescent="0.2">
      <c r="Q32" s="188"/>
      <c r="S32" s="183"/>
    </row>
    <row r="33" spans="2:19" x14ac:dyDescent="0.2">
      <c r="R33" s="183"/>
      <c r="S33" s="183"/>
    </row>
    <row r="34" spans="2:19" x14ac:dyDescent="0.2">
      <c r="R34" s="183"/>
      <c r="S34" s="189"/>
    </row>
    <row r="35" spans="2:19" x14ac:dyDescent="0.2">
      <c r="R35" s="183"/>
      <c r="S35" s="183"/>
    </row>
    <row r="36" spans="2:19" x14ac:dyDescent="0.2">
      <c r="R36" s="183"/>
      <c r="S36" s="183"/>
    </row>
    <row r="37" spans="2:19" x14ac:dyDescent="0.2">
      <c r="S37" s="183"/>
    </row>
    <row r="38" spans="2:19" x14ac:dyDescent="0.2">
      <c r="S38" s="183"/>
    </row>
    <row r="39" spans="2:19" x14ac:dyDescent="0.2">
      <c r="O39" s="174"/>
    </row>
    <row r="40" spans="2:19" x14ac:dyDescent="0.2">
      <c r="O40" s="174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9"/>
  <sheetViews>
    <sheetView tabSelected="1" topLeftCell="A85" zoomScaleNormal="100" workbookViewId="0">
      <selection activeCell="G108" sqref="G108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00" t="s">
        <v>106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 ht="13.5" thickBot="1" x14ac:dyDescent="0.2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4" x14ac:dyDescent="0.2">
      <c r="A3" s="202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91"/>
    </row>
    <row r="4" spans="1:14" ht="15" x14ac:dyDescent="0.25">
      <c r="A4" s="192" t="s">
        <v>80</v>
      </c>
      <c r="G4" s="193" t="s">
        <v>113</v>
      </c>
      <c r="N4" s="194"/>
    </row>
    <row r="5" spans="1:14" x14ac:dyDescent="0.2">
      <c r="A5" s="210" t="s">
        <v>81</v>
      </c>
      <c r="B5" s="209" t="s">
        <v>4</v>
      </c>
      <c r="C5" s="209" t="s">
        <v>76</v>
      </c>
      <c r="D5" s="209" t="s">
        <v>82</v>
      </c>
      <c r="G5" s="229" t="s">
        <v>83</v>
      </c>
      <c r="H5" s="227" t="s">
        <v>3</v>
      </c>
      <c r="I5" s="227" t="s">
        <v>4</v>
      </c>
      <c r="J5" s="213" t="s">
        <v>84</v>
      </c>
      <c r="K5" s="227" t="s">
        <v>6</v>
      </c>
      <c r="L5" s="228" t="s">
        <v>7</v>
      </c>
      <c r="M5" s="228" t="s">
        <v>0</v>
      </c>
      <c r="N5" s="194"/>
    </row>
    <row r="6" spans="1:14" x14ac:dyDescent="0.2">
      <c r="A6" s="195" t="s">
        <v>85</v>
      </c>
      <c r="B6">
        <v>3.69</v>
      </c>
      <c r="C6">
        <v>8.1999999999999993</v>
      </c>
      <c r="G6" s="180" t="s">
        <v>28</v>
      </c>
      <c r="H6" s="214">
        <v>0.6</v>
      </c>
      <c r="I6" s="214">
        <v>0.17</v>
      </c>
      <c r="J6" s="214">
        <v>0.08</v>
      </c>
      <c r="K6" s="214">
        <v>0.09</v>
      </c>
      <c r="L6" s="181">
        <v>0.06</v>
      </c>
      <c r="M6" s="181"/>
      <c r="N6" s="194"/>
    </row>
    <row r="7" spans="1:14" x14ac:dyDescent="0.2">
      <c r="A7" s="195" t="s">
        <v>86</v>
      </c>
      <c r="B7" s="21">
        <f>B6*0.25</f>
        <v>0.92249999999999999</v>
      </c>
      <c r="C7" s="21">
        <f>C6*0.25</f>
        <v>2.0499999999999998</v>
      </c>
      <c r="G7" s="182" t="s">
        <v>87</v>
      </c>
      <c r="H7" s="180">
        <f>+Indeks!C40</f>
        <v>108.6</v>
      </c>
      <c r="I7" s="180">
        <f>+Indeks!D40</f>
        <v>142.80000000000001</v>
      </c>
      <c r="J7" s="180">
        <f>+Indeks!E40</f>
        <v>115.5</v>
      </c>
      <c r="K7" s="180">
        <f>+Indeks!F40</f>
        <v>97.1</v>
      </c>
      <c r="L7" s="180">
        <f>+Indeks!G40</f>
        <v>4.7699999999999996</v>
      </c>
      <c r="M7" s="186">
        <v>100</v>
      </c>
      <c r="N7" s="194"/>
    </row>
    <row r="8" spans="1:14" x14ac:dyDescent="0.2">
      <c r="A8" s="195" t="s">
        <v>88</v>
      </c>
      <c r="B8">
        <v>2.7109999999999999</v>
      </c>
      <c r="C8" s="21">
        <f>C17*C18</f>
        <v>2.594592</v>
      </c>
      <c r="G8" s="182" t="s">
        <v>89</v>
      </c>
      <c r="H8" s="233">
        <v>134.24229</v>
      </c>
      <c r="I8" s="231">
        <v>146.1404208194906</v>
      </c>
      <c r="J8" s="234">
        <v>132.96893787575152</v>
      </c>
      <c r="K8" s="233">
        <v>103.68702807357212</v>
      </c>
      <c r="L8" s="233">
        <v>0.61</v>
      </c>
      <c r="M8" s="231">
        <v>111.15248364784418</v>
      </c>
      <c r="N8" s="194"/>
    </row>
    <row r="9" spans="1:14" x14ac:dyDescent="0.2">
      <c r="A9" s="195" t="s">
        <v>90</v>
      </c>
      <c r="B9">
        <v>0.43</v>
      </c>
      <c r="G9" s="184" t="s">
        <v>91</v>
      </c>
      <c r="H9" s="185">
        <f>+(H8/H7*H6)/$M$8*100</f>
        <v>0.66725464529161005</v>
      </c>
      <c r="I9" s="185">
        <f>+(I8/I7*I6)/$M$8*100</f>
        <v>0.1565207413655024</v>
      </c>
      <c r="J9" s="185">
        <f>+(J8/J7*J6)/$M$8*100</f>
        <v>8.2858874770401103E-2</v>
      </c>
      <c r="K9" s="185">
        <f>+(K8/K7*K6)/$M$8*100</f>
        <v>8.6462648580226426E-2</v>
      </c>
      <c r="L9" s="232">
        <f>+(L8/L7*L6)/$M$8*100</f>
        <v>6.9030899922600027E-3</v>
      </c>
      <c r="M9" s="190">
        <v>1</v>
      </c>
      <c r="N9" s="194"/>
    </row>
    <row r="10" spans="1:14" x14ac:dyDescent="0.2">
      <c r="A10" s="195" t="s">
        <v>92</v>
      </c>
      <c r="B10">
        <v>8.9999999999999993E-3</v>
      </c>
      <c r="G10" s="230" t="s">
        <v>93</v>
      </c>
      <c r="H10" s="227" t="s">
        <v>3</v>
      </c>
      <c r="I10" s="227" t="s">
        <v>76</v>
      </c>
      <c r="J10" s="213" t="s">
        <v>84</v>
      </c>
      <c r="K10" s="227" t="s">
        <v>6</v>
      </c>
      <c r="L10" s="228" t="s">
        <v>7</v>
      </c>
      <c r="M10" s="222"/>
      <c r="N10" s="194"/>
    </row>
    <row r="11" spans="1:14" x14ac:dyDescent="0.2">
      <c r="A11" s="195" t="s">
        <v>94</v>
      </c>
      <c r="B11">
        <f>SUM(B6:B10)</f>
        <v>7.7624999999999993</v>
      </c>
      <c r="C11" s="21">
        <f>SUM(C6:C10)</f>
        <v>12.844592</v>
      </c>
      <c r="G11" s="186" t="s">
        <v>28</v>
      </c>
      <c r="H11" s="238">
        <v>0.6</v>
      </c>
      <c r="I11" s="238">
        <v>0.17</v>
      </c>
      <c r="J11" s="238">
        <v>0.08</v>
      </c>
      <c r="K11" s="238">
        <v>0.09</v>
      </c>
      <c r="L11" s="238">
        <v>0.06</v>
      </c>
      <c r="M11" s="237"/>
      <c r="N11" s="194"/>
    </row>
    <row r="12" spans="1:14" x14ac:dyDescent="0.2">
      <c r="A12" s="195" t="s">
        <v>95</v>
      </c>
      <c r="B12">
        <v>1</v>
      </c>
      <c r="C12" s="21">
        <v>0.96</v>
      </c>
      <c r="G12" s="182" t="s">
        <v>87</v>
      </c>
      <c r="H12" s="182">
        <f>+H7</f>
        <v>108.6</v>
      </c>
      <c r="I12" s="233">
        <f>+I7</f>
        <v>142.80000000000001</v>
      </c>
      <c r="J12" s="182">
        <f>+J7</f>
        <v>115.5</v>
      </c>
      <c r="K12" s="182">
        <f>+K7</f>
        <v>97.1</v>
      </c>
      <c r="L12" s="233">
        <f>+L7</f>
        <v>4.7699999999999996</v>
      </c>
      <c r="M12" s="187">
        <v>100</v>
      </c>
      <c r="N12" s="194"/>
    </row>
    <row r="13" spans="1:14" ht="15" x14ac:dyDescent="0.25">
      <c r="A13" s="195" t="s">
        <v>96</v>
      </c>
      <c r="B13" s="196">
        <f>B11/B12</f>
        <v>7.7624999999999993</v>
      </c>
      <c r="C13" s="196">
        <f>C11/C12</f>
        <v>13.379783333333334</v>
      </c>
      <c r="D13" s="197">
        <f>+C13/B13-1</f>
        <v>0.7236435856146004</v>
      </c>
      <c r="G13" s="182" t="s">
        <v>89</v>
      </c>
      <c r="H13" s="233">
        <f>+H8</f>
        <v>134.24229</v>
      </c>
      <c r="I13" s="236">
        <f>+C13/B13*I8</f>
        <v>251.89399894453337</v>
      </c>
      <c r="J13" s="233">
        <f>+J8</f>
        <v>132.96893787575152</v>
      </c>
      <c r="K13" s="233">
        <f>+K8</f>
        <v>103.68702807357212</v>
      </c>
      <c r="L13" s="233">
        <f>+L8</f>
        <v>0.61</v>
      </c>
      <c r="M13" s="231">
        <f>+Indeks!H163</f>
        <v>123.74219532939689</v>
      </c>
      <c r="N13" s="194"/>
    </row>
    <row r="14" spans="1:14" x14ac:dyDescent="0.2">
      <c r="A14" s="195" t="s">
        <v>98</v>
      </c>
      <c r="C14" s="21">
        <f>C13-B13</f>
        <v>5.6172833333333347</v>
      </c>
      <c r="G14" s="184" t="s">
        <v>91</v>
      </c>
      <c r="H14" s="235">
        <f>+(H13/H12*H11)/$M$13*100</f>
        <v>0.59936718313663395</v>
      </c>
      <c r="I14" s="235">
        <f>+(I13/I12*I11)/$M$13*100</f>
        <v>0.24233755306267946</v>
      </c>
      <c r="J14" s="235">
        <f>+(J13/J12*J11)/$M$13*100</f>
        <v>7.4428691833688568E-2</v>
      </c>
      <c r="K14" s="235">
        <f>+(K13/K12*K11)/$M$13*100</f>
        <v>7.7665812432695561E-2</v>
      </c>
      <c r="L14" s="235">
        <f>+(L13/L12*L11)/$M$13*100</f>
        <v>6.2007595343024731E-3</v>
      </c>
      <c r="M14" s="216">
        <f>H14+I14+J14+K14+L14</f>
        <v>1</v>
      </c>
      <c r="N14" s="194"/>
    </row>
    <row r="15" spans="1:14" x14ac:dyDescent="0.2">
      <c r="A15" s="195" t="s">
        <v>99</v>
      </c>
      <c r="C15" s="21"/>
      <c r="N15" s="194"/>
    </row>
    <row r="16" spans="1:14" ht="13.15" customHeight="1" x14ac:dyDescent="0.2">
      <c r="A16" s="195" t="s">
        <v>100</v>
      </c>
      <c r="C16" s="21"/>
      <c r="G16" s="301" t="s">
        <v>97</v>
      </c>
      <c r="H16" s="301"/>
      <c r="I16" s="301"/>
      <c r="J16" s="301"/>
      <c r="K16" s="301"/>
      <c r="L16" s="301"/>
      <c r="M16" s="301"/>
      <c r="N16" s="194"/>
    </row>
    <row r="17" spans="1:16" x14ac:dyDescent="0.2">
      <c r="A17" s="195" t="s">
        <v>101</v>
      </c>
      <c r="C17">
        <v>34.32</v>
      </c>
      <c r="G17" s="301"/>
      <c r="H17" s="301"/>
      <c r="I17" s="301"/>
      <c r="J17" s="301"/>
      <c r="K17" s="301"/>
      <c r="L17" s="301"/>
      <c r="M17" s="301"/>
      <c r="N17" s="194"/>
    </row>
    <row r="18" spans="1:16" ht="13.5" thickBot="1" x14ac:dyDescent="0.25">
      <c r="A18" s="198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9"/>
      <c r="L18" s="31"/>
      <c r="M18" s="199"/>
      <c r="N18" s="200"/>
    </row>
    <row r="20" spans="1:16" x14ac:dyDescent="0.2">
      <c r="L20" s="114"/>
      <c r="M20" s="142"/>
      <c r="N20" s="217"/>
      <c r="O20" s="165"/>
      <c r="P20" s="165"/>
    </row>
    <row r="21" spans="1:16" hidden="1" x14ac:dyDescent="0.2">
      <c r="A21" s="220"/>
      <c r="B21" s="298" t="s">
        <v>75</v>
      </c>
      <c r="C21" s="298" t="s">
        <v>78</v>
      </c>
      <c r="D21" s="221"/>
      <c r="E21" s="221"/>
      <c r="F21" s="221"/>
      <c r="G21" s="221"/>
      <c r="H21" s="222"/>
    </row>
    <row r="22" spans="1:16" hidden="1" x14ac:dyDescent="0.2">
      <c r="A22" s="223">
        <v>2018</v>
      </c>
      <c r="B22" s="299"/>
      <c r="C22" s="299"/>
      <c r="D22" s="226"/>
      <c r="E22" s="226"/>
      <c r="F22" s="226"/>
      <c r="G22" s="224" t="s">
        <v>112</v>
      </c>
      <c r="H22" s="225" t="s">
        <v>109</v>
      </c>
    </row>
    <row r="23" spans="1:16" hidden="1" x14ac:dyDescent="0.2">
      <c r="A23" s="239" t="s">
        <v>107</v>
      </c>
      <c r="B23">
        <v>120.4</v>
      </c>
      <c r="C23" s="176">
        <f>+((B23/$B$24)*Indeks!$D$163)*(H23/$H$24)</f>
        <v>259.86139518637037</v>
      </c>
      <c r="D23" s="173"/>
      <c r="E23" s="116"/>
      <c r="G23" s="240">
        <v>43024</v>
      </c>
      <c r="H23" s="241">
        <v>77.63</v>
      </c>
    </row>
    <row r="24" spans="1:16" hidden="1" x14ac:dyDescent="0.2">
      <c r="A24" s="242" t="s">
        <v>108</v>
      </c>
      <c r="B24">
        <v>121.4</v>
      </c>
      <c r="C24" s="173" t="s">
        <v>77</v>
      </c>
      <c r="D24" s="173"/>
      <c r="E24" s="173"/>
      <c r="G24" s="240">
        <v>43054</v>
      </c>
      <c r="H24" s="241">
        <v>74.63</v>
      </c>
    </row>
    <row r="25" spans="1:16" hidden="1" x14ac:dyDescent="0.2">
      <c r="A25" s="239" t="s">
        <v>10</v>
      </c>
      <c r="B25">
        <v>124.8</v>
      </c>
      <c r="C25" s="176">
        <f>+((B25/$B$24)*Indeks!$D$163)*(H25/$H$24)</f>
        <v>259.36506284973615</v>
      </c>
      <c r="G25" s="240">
        <v>43084</v>
      </c>
      <c r="H25" s="241">
        <v>74.75</v>
      </c>
    </row>
    <row r="26" spans="1:16" hidden="1" x14ac:dyDescent="0.2">
      <c r="A26" s="242" t="s">
        <v>11</v>
      </c>
      <c r="B26">
        <v>122.4</v>
      </c>
      <c r="C26" s="176">
        <f>+((B26/$B$24)*Indeks!$D$163)*(H26/$H$24)</f>
        <v>257.81434402786124</v>
      </c>
      <c r="G26" s="240">
        <v>43115</v>
      </c>
      <c r="H26" s="241">
        <v>75.760000000000005</v>
      </c>
    </row>
    <row r="27" spans="1:16" hidden="1" x14ac:dyDescent="0.2">
      <c r="A27" s="239" t="s">
        <v>12</v>
      </c>
      <c r="B27">
        <v>122.7</v>
      </c>
      <c r="C27" s="176">
        <f>+((B27/$B$24)*Indeks!$D$163)*(H27/$H$24)</f>
        <v>256.22884413086132</v>
      </c>
      <c r="G27" s="240">
        <v>43146</v>
      </c>
      <c r="H27" s="241">
        <v>75.11</v>
      </c>
    </row>
    <row r="28" spans="1:16" hidden="1" x14ac:dyDescent="0.2">
      <c r="A28" s="242" t="s">
        <v>13</v>
      </c>
      <c r="B28">
        <v>128.6</v>
      </c>
      <c r="C28" s="176">
        <f>+((B28/$B$24)*Indeks!$D$163)*(H28/$H$24)</f>
        <v>263.82999648571183</v>
      </c>
      <c r="G28" s="240">
        <v>43174</v>
      </c>
      <c r="H28" s="241">
        <v>73.790000000000006</v>
      </c>
    </row>
    <row r="29" spans="1:16" hidden="1" x14ac:dyDescent="0.2">
      <c r="A29" s="239" t="s">
        <v>30</v>
      </c>
      <c r="B29">
        <v>133.69999999999999</v>
      </c>
      <c r="C29" s="176">
        <f>+((B29/$B$24)*Indeks!$D$163)*(H29/$H$24)</f>
        <v>266.07789375669279</v>
      </c>
      <c r="G29" s="240">
        <v>43206</v>
      </c>
      <c r="H29" s="241">
        <v>71.58</v>
      </c>
    </row>
    <row r="30" spans="1:16" hidden="1" x14ac:dyDescent="0.2">
      <c r="A30" s="239" t="s">
        <v>14</v>
      </c>
      <c r="B30" s="11">
        <v>133</v>
      </c>
      <c r="C30">
        <f>+((B30/$B$24)*Indeks!$D$163)*(H30/$H$24)</f>
        <v>267.60603685274725</v>
      </c>
      <c r="G30" s="240">
        <v>43235</v>
      </c>
      <c r="H30" s="241">
        <v>72.37</v>
      </c>
    </row>
    <row r="31" spans="1:16" hidden="1" x14ac:dyDescent="0.2">
      <c r="A31" s="242" t="s">
        <v>15</v>
      </c>
      <c r="B31">
        <v>139.19999999999999</v>
      </c>
      <c r="C31" s="245">
        <f>+((B31/$B$24)*Indeks!$D$163)*(H31/$H$24)</f>
        <v>283.48661423131045</v>
      </c>
      <c r="G31" s="240">
        <v>43266</v>
      </c>
      <c r="H31" s="241">
        <v>73.25</v>
      </c>
    </row>
    <row r="32" spans="1:16" hidden="1" x14ac:dyDescent="0.2">
      <c r="A32" s="242" t="s">
        <v>16</v>
      </c>
      <c r="B32">
        <v>141.5</v>
      </c>
      <c r="C32" s="245">
        <f>+((B32/$B$24)*Indeks!$D$163)*(H32/$H$24)</f>
        <v>283.80384210275332</v>
      </c>
      <c r="G32" s="240">
        <v>43297</v>
      </c>
      <c r="H32" s="241">
        <v>72.14</v>
      </c>
    </row>
    <row r="33" spans="1:8" hidden="1" x14ac:dyDescent="0.2">
      <c r="A33" s="242" t="s">
        <v>17</v>
      </c>
      <c r="B33">
        <v>144.1</v>
      </c>
      <c r="C33" s="245">
        <f>+((B33/$B$24)*Indeks!$D$163)*(H33/$H$24)</f>
        <v>287.1756880092247</v>
      </c>
      <c r="G33" s="240">
        <v>43327</v>
      </c>
      <c r="H33" s="241">
        <v>71.680000000000007</v>
      </c>
    </row>
    <row r="34" spans="1:8" hidden="1" x14ac:dyDescent="0.2">
      <c r="A34" s="243" t="s">
        <v>18</v>
      </c>
      <c r="B34" s="13">
        <v>148.4</v>
      </c>
      <c r="C34" s="247">
        <f>+((B34/$B$24)*Indeks!$D$163)*(H34/$H$24)</f>
        <v>291.82550905493702</v>
      </c>
      <c r="D34" s="13"/>
      <c r="E34" s="13"/>
      <c r="F34" s="13"/>
      <c r="G34" s="246">
        <v>43357</v>
      </c>
      <c r="H34" s="244">
        <v>70.73</v>
      </c>
    </row>
    <row r="36" spans="1:8" ht="12.75" hidden="1" customHeight="1" x14ac:dyDescent="0.2">
      <c r="A36" s="220"/>
      <c r="B36" s="298" t="s">
        <v>75</v>
      </c>
      <c r="C36" s="298" t="s">
        <v>78</v>
      </c>
      <c r="D36" s="221"/>
      <c r="E36" s="221"/>
      <c r="F36" s="221"/>
      <c r="G36" s="221"/>
      <c r="H36" s="222"/>
    </row>
    <row r="37" spans="1:8" hidden="1" x14ac:dyDescent="0.2">
      <c r="A37" s="223">
        <v>2019</v>
      </c>
      <c r="B37" s="299"/>
      <c r="C37" s="299"/>
      <c r="D37" s="226"/>
      <c r="E37" s="226"/>
      <c r="F37" s="226"/>
      <c r="G37" s="224" t="s">
        <v>112</v>
      </c>
      <c r="H37" s="225" t="s">
        <v>109</v>
      </c>
    </row>
    <row r="38" spans="1:8" hidden="1" x14ac:dyDescent="0.2">
      <c r="A38" s="239" t="s">
        <v>107</v>
      </c>
      <c r="B38" s="11">
        <v>146</v>
      </c>
      <c r="C38" s="176">
        <f>+((B38/$B$24)*Indeks!$D$163)*(H38/$H$24)</f>
        <v>291.40869220579856</v>
      </c>
      <c r="D38" s="173"/>
      <c r="E38" s="116"/>
      <c r="G38" s="240">
        <v>43388</v>
      </c>
      <c r="H38" s="241">
        <v>71.790000000000006</v>
      </c>
    </row>
    <row r="39" spans="1:8" hidden="1" x14ac:dyDescent="0.2">
      <c r="A39" s="242" t="s">
        <v>108</v>
      </c>
      <c r="B39">
        <v>138.1</v>
      </c>
      <c r="C39" s="176">
        <f>+((B39/$B$24)*Indeks!$D$163)*(H39/$H$24)</f>
        <v>279.36504292770275</v>
      </c>
      <c r="D39" s="173"/>
      <c r="E39" s="173"/>
      <c r="G39" s="240">
        <v>43419</v>
      </c>
      <c r="H39" s="241">
        <v>72.760000000000005</v>
      </c>
    </row>
    <row r="40" spans="1:8" hidden="1" x14ac:dyDescent="0.2">
      <c r="A40" s="239" t="s">
        <v>10</v>
      </c>
      <c r="B40" s="11">
        <v>136</v>
      </c>
      <c r="C40" s="176">
        <f>+((B40/$B$24)*Indeks!$D$163)*(H40/$H$24)</f>
        <v>275.1169141069339</v>
      </c>
      <c r="G40" s="240">
        <v>43448</v>
      </c>
      <c r="H40" s="241">
        <v>72.760000000000005</v>
      </c>
    </row>
    <row r="41" spans="1:8" hidden="1" x14ac:dyDescent="0.2">
      <c r="A41" s="242" t="s">
        <v>11</v>
      </c>
      <c r="B41" s="11">
        <v>140.5</v>
      </c>
      <c r="C41" s="176">
        <f>+((B41/$B$24)*Indeks!$D$163)*(H41/$H$24)</f>
        <v>284.72786211216618</v>
      </c>
      <c r="G41" s="248" t="s">
        <v>118</v>
      </c>
      <c r="H41" s="241">
        <v>72.89</v>
      </c>
    </row>
    <row r="42" spans="1:8" hidden="1" x14ac:dyDescent="0.2">
      <c r="A42" s="239" t="s">
        <v>12</v>
      </c>
      <c r="B42" s="11">
        <v>143</v>
      </c>
      <c r="C42" s="176">
        <f>+((B42/$B$24)*Indeks!$D$163)*(H42/$H$24)</f>
        <v>283.03537774108116</v>
      </c>
      <c r="G42" s="240">
        <v>43511</v>
      </c>
      <c r="H42" s="241">
        <v>71.19</v>
      </c>
    </row>
    <row r="43" spans="1:8" hidden="1" x14ac:dyDescent="0.2">
      <c r="A43" s="242" t="s">
        <v>13</v>
      </c>
      <c r="B43" s="11">
        <v>144.9</v>
      </c>
      <c r="C43" s="176">
        <f>+((B43/$B$24)*Indeks!$D$163)*(H43/$H$24)</f>
        <v>286.43341371371372</v>
      </c>
      <c r="G43" s="240">
        <v>43539</v>
      </c>
      <c r="H43" s="250">
        <v>71.099999999999994</v>
      </c>
    </row>
    <row r="44" spans="1:8" hidden="1" x14ac:dyDescent="0.2">
      <c r="A44" s="239" t="s">
        <v>30</v>
      </c>
      <c r="B44" s="11">
        <v>147.69999999999999</v>
      </c>
      <c r="C44" s="176">
        <f>E46+((B44/$B$24)*Indeks!$D$163)*(H44/$H$24)</f>
        <v>292.99497057610245</v>
      </c>
      <c r="G44" s="240">
        <v>43570</v>
      </c>
      <c r="H44" s="241">
        <v>71.349999999999994</v>
      </c>
    </row>
    <row r="45" spans="1:8" hidden="1" x14ac:dyDescent="0.2">
      <c r="A45" s="239" t="s">
        <v>14</v>
      </c>
      <c r="B45" s="11">
        <v>142.19999999999999</v>
      </c>
      <c r="C45" s="176">
        <f>+((B45/$B$24)*Indeks!$D$163)*(H45/$H$24)</f>
        <v>274.21699896733173</v>
      </c>
      <c r="G45" s="249" t="s">
        <v>119</v>
      </c>
      <c r="H45" s="241">
        <v>69.36</v>
      </c>
    </row>
    <row r="46" spans="1:8" hidden="1" x14ac:dyDescent="0.2">
      <c r="A46" s="242" t="s">
        <v>15</v>
      </c>
      <c r="B46" s="11">
        <v>143.4</v>
      </c>
      <c r="C46" s="245">
        <f>+((B46/$B$24)*Indeks!$D$163)*(H46/$H$24)</f>
        <v>279.84018966941676</v>
      </c>
      <c r="G46" s="240">
        <v>43630</v>
      </c>
      <c r="H46" s="241">
        <v>70.19</v>
      </c>
    </row>
    <row r="47" spans="1:8" hidden="1" x14ac:dyDescent="0.2">
      <c r="A47" s="242" t="s">
        <v>16</v>
      </c>
      <c r="B47" s="11">
        <v>141.6</v>
      </c>
      <c r="C47" s="245">
        <f>+((B47/$B$24)*Indeks!$D$163)*(H47/$H$24)</f>
        <v>278.45345068853823</v>
      </c>
      <c r="G47" s="240">
        <v>43661</v>
      </c>
      <c r="H47" s="241">
        <v>70.73</v>
      </c>
    </row>
    <row r="48" spans="1:8" hidden="1" x14ac:dyDescent="0.2">
      <c r="A48" s="242" t="s">
        <v>17</v>
      </c>
      <c r="B48" s="11">
        <v>145.1</v>
      </c>
      <c r="C48" s="245">
        <f>+((B48/$B$24)*Indeks!$D$163)*(H48/$H$24)</f>
        <v>280.41445274432044</v>
      </c>
      <c r="G48" s="240">
        <v>43692</v>
      </c>
      <c r="H48" s="241">
        <v>69.510000000000005</v>
      </c>
    </row>
    <row r="49" spans="1:13" hidden="1" x14ac:dyDescent="0.2">
      <c r="A49" s="243" t="s">
        <v>18</v>
      </c>
      <c r="B49" s="13">
        <v>145.9</v>
      </c>
      <c r="C49" s="247">
        <f>+((B49/$B$24)*Indeks!$D$163)*(H49/$H$24)</f>
        <v>283.8670096508618</v>
      </c>
      <c r="D49" s="13"/>
      <c r="E49" s="13"/>
      <c r="F49" s="13"/>
      <c r="G49" s="246">
        <v>43724</v>
      </c>
      <c r="H49" s="244">
        <v>69.98</v>
      </c>
    </row>
    <row r="50" spans="1:13" hidden="1" x14ac:dyDescent="0.2"/>
    <row r="51" spans="1:13" hidden="1" x14ac:dyDescent="0.2">
      <c r="A51" s="220"/>
      <c r="B51" s="298" t="s">
        <v>75</v>
      </c>
      <c r="C51" s="298" t="s">
        <v>78</v>
      </c>
      <c r="D51" s="221"/>
      <c r="E51" s="221"/>
      <c r="F51" s="221"/>
      <c r="G51" s="221"/>
      <c r="H51" s="222"/>
    </row>
    <row r="52" spans="1:13" hidden="1" x14ac:dyDescent="0.2">
      <c r="A52" s="223">
        <v>2020</v>
      </c>
      <c r="B52" s="299"/>
      <c r="C52" s="299"/>
      <c r="D52" s="226"/>
      <c r="E52" s="226"/>
      <c r="F52" s="226"/>
      <c r="G52" s="224" t="s">
        <v>112</v>
      </c>
      <c r="H52" s="225" t="s">
        <v>109</v>
      </c>
    </row>
    <row r="53" spans="1:13" hidden="1" x14ac:dyDescent="0.2">
      <c r="A53" s="239" t="s">
        <v>107</v>
      </c>
      <c r="B53" s="11">
        <v>145.5</v>
      </c>
      <c r="C53" s="176">
        <f>+((B53/$B$24)*Indeks!$D$163)*(H53/$H$24)</f>
        <v>279.20528908464308</v>
      </c>
      <c r="D53" s="173"/>
      <c r="E53" s="116"/>
      <c r="G53" s="240">
        <v>43753</v>
      </c>
      <c r="H53" s="241">
        <v>69.02</v>
      </c>
    </row>
    <row r="54" spans="1:13" hidden="1" x14ac:dyDescent="0.2">
      <c r="A54" s="242" t="s">
        <v>108</v>
      </c>
      <c r="B54">
        <v>143.6</v>
      </c>
      <c r="C54" s="176">
        <f>+((B54/$B$24)*Indeks!$D$163)*(H54/$H$24)</f>
        <v>280.07078458315442</v>
      </c>
      <c r="D54" s="173"/>
      <c r="E54" s="173"/>
      <c r="G54" s="240">
        <v>43784</v>
      </c>
      <c r="H54" s="241">
        <v>70.150000000000006</v>
      </c>
    </row>
    <row r="55" spans="1:13" hidden="1" x14ac:dyDescent="0.2">
      <c r="A55" s="239" t="s">
        <v>10</v>
      </c>
      <c r="B55" s="11">
        <v>150</v>
      </c>
      <c r="C55" s="176">
        <f>+((B55/$B$24)*Indeks!$D$163)*(H55/$H$24)</f>
        <v>299.05886057619267</v>
      </c>
      <c r="G55" s="240">
        <v>43815</v>
      </c>
      <c r="H55" s="241">
        <v>71.709999999999994</v>
      </c>
    </row>
    <row r="56" spans="1:13" hidden="1" x14ac:dyDescent="0.2">
      <c r="A56" s="242" t="s">
        <v>11</v>
      </c>
      <c r="B56" s="11">
        <v>144.6</v>
      </c>
      <c r="C56" s="176">
        <f>+((B56/$B$24)*Indeks!$D$163)*(H56/$H$24)</f>
        <v>284.51369854566974</v>
      </c>
      <c r="G56" s="248" t="s">
        <v>120</v>
      </c>
      <c r="H56" s="241">
        <v>70.77</v>
      </c>
    </row>
    <row r="57" spans="1:13" hidden="1" x14ac:dyDescent="0.2">
      <c r="A57" s="239" t="s">
        <v>12</v>
      </c>
      <c r="B57" s="11">
        <v>137.30000000000001</v>
      </c>
      <c r="C57" s="176">
        <f>+((B57/$B$24)*Indeks!$D$163)*(H57/$H$24)</f>
        <v>271.40999104826017</v>
      </c>
      <c r="G57" s="240">
        <v>43875</v>
      </c>
      <c r="H57" s="250">
        <v>71.099999999999994</v>
      </c>
    </row>
    <row r="58" spans="1:13" hidden="1" x14ac:dyDescent="0.2">
      <c r="A58" s="242" t="s">
        <v>13</v>
      </c>
      <c r="B58" s="11">
        <v>130.30000000000001</v>
      </c>
      <c r="C58" s="176">
        <f>+((B58/$B$24)*Indeks!$D$163)*(H58/$H$24)</f>
        <v>248.37101800658405</v>
      </c>
      <c r="G58" s="240">
        <v>43906</v>
      </c>
      <c r="H58" s="250">
        <v>68.56</v>
      </c>
    </row>
    <row r="59" spans="1:13" hidden="1" x14ac:dyDescent="0.2">
      <c r="A59" s="239" t="s">
        <v>30</v>
      </c>
      <c r="B59" s="11">
        <v>126.6</v>
      </c>
      <c r="C59" s="176">
        <f>E61+((B59/$B$24)*Indeks!$D$163)*(H59/$H$24)</f>
        <v>240.29752697443806</v>
      </c>
      <c r="G59" s="240">
        <v>43936</v>
      </c>
      <c r="H59" s="241">
        <v>68.27</v>
      </c>
    </row>
    <row r="60" spans="1:13" hidden="1" x14ac:dyDescent="0.2">
      <c r="A60" s="239" t="s">
        <v>14</v>
      </c>
      <c r="B60" s="11">
        <v>129.30000000000001</v>
      </c>
      <c r="C60" s="176">
        <f>+((B60/$B$24)*Indeks!$D$163)*(H60/$H$24)</f>
        <v>251.2820077169963</v>
      </c>
      <c r="G60" s="249">
        <v>43966</v>
      </c>
      <c r="H60" s="250">
        <v>69.900000000000006</v>
      </c>
    </row>
    <row r="61" spans="1:13" hidden="1" x14ac:dyDescent="0.2">
      <c r="A61" s="242" t="s">
        <v>15</v>
      </c>
      <c r="B61">
        <v>132.80000000000001</v>
      </c>
      <c r="C61" s="245">
        <f>+((B61/$B$24)*Indeks!$D$163)*(H61/$H$24)</f>
        <v>261.18535585579235</v>
      </c>
      <c r="G61" s="240">
        <v>43997</v>
      </c>
      <c r="H61" s="241">
        <v>70.739999999999995</v>
      </c>
    </row>
    <row r="62" spans="1:13" hidden="1" x14ac:dyDescent="0.2">
      <c r="A62" s="242" t="s">
        <v>16</v>
      </c>
      <c r="B62">
        <v>130.6</v>
      </c>
      <c r="C62" s="245">
        <f>+((B62/$B$24)*Indeks!$D$163)*(H62/$H$24)</f>
        <v>261.32464697199993</v>
      </c>
      <c r="G62" s="240">
        <v>44027</v>
      </c>
      <c r="H62" s="241">
        <v>71.97</v>
      </c>
    </row>
    <row r="63" spans="1:13" hidden="1" x14ac:dyDescent="0.2">
      <c r="A63" s="242" t="s">
        <v>17</v>
      </c>
      <c r="B63" s="11">
        <v>129.9</v>
      </c>
      <c r="C63" s="245">
        <f>+((B63/$B$24)*Indeks!$D$163)*(H63/$H$24)</f>
        <v>261.29637170948837</v>
      </c>
      <c r="G63" s="240">
        <v>44057</v>
      </c>
      <c r="H63" s="241">
        <v>72.349999999999994</v>
      </c>
    </row>
    <row r="64" spans="1:13" hidden="1" x14ac:dyDescent="0.2">
      <c r="A64" s="243" t="s">
        <v>18</v>
      </c>
      <c r="B64" s="13">
        <v>129.4</v>
      </c>
      <c r="C64" s="247">
        <f>+((B64/$B$24)*Indeks!$D$163)*(H64/$H$24)</f>
        <v>257.26857863641322</v>
      </c>
      <c r="D64" s="13"/>
      <c r="E64" s="13"/>
      <c r="F64" s="13"/>
      <c r="G64" s="246">
        <v>44089</v>
      </c>
      <c r="H64" s="244">
        <v>71.510000000000005</v>
      </c>
      <c r="L64" s="267"/>
      <c r="M64" s="245"/>
    </row>
    <row r="65" spans="1:14" x14ac:dyDescent="0.2">
      <c r="L65" s="21"/>
    </row>
    <row r="66" spans="1:14" x14ac:dyDescent="0.2">
      <c r="A66" s="220"/>
      <c r="B66" s="298" t="s">
        <v>75</v>
      </c>
      <c r="C66" s="298" t="s">
        <v>78</v>
      </c>
      <c r="D66" s="221"/>
      <c r="E66" s="221"/>
      <c r="F66" s="221"/>
      <c r="G66" s="221"/>
      <c r="H66" s="222"/>
    </row>
    <row r="67" spans="1:14" x14ac:dyDescent="0.2">
      <c r="A67" s="223">
        <v>2021</v>
      </c>
      <c r="B67" s="299"/>
      <c r="C67" s="299"/>
      <c r="D67" s="226"/>
      <c r="E67" s="226"/>
      <c r="F67" s="226"/>
      <c r="G67" s="224" t="s">
        <v>112</v>
      </c>
      <c r="H67" s="225" t="s">
        <v>109</v>
      </c>
    </row>
    <row r="68" spans="1:14" x14ac:dyDescent="0.2">
      <c r="A68" s="239" t="s">
        <v>107</v>
      </c>
      <c r="B68" s="11">
        <v>130.1</v>
      </c>
      <c r="C68" s="176">
        <f>+((B68/$B$24)*Indeks!$D$163)*(H68/$H$24)</f>
        <v>259.41988961244294</v>
      </c>
      <c r="D68" s="173"/>
      <c r="E68" s="116"/>
      <c r="G68" s="240">
        <v>44119</v>
      </c>
      <c r="H68" s="241">
        <v>71.72</v>
      </c>
    </row>
    <row r="69" spans="1:14" x14ac:dyDescent="0.2">
      <c r="A69" s="242" t="s">
        <v>108</v>
      </c>
      <c r="B69">
        <v>133.6</v>
      </c>
      <c r="C69" s="176">
        <f>+((B69/$B$24)*Indeks!$D$163)*(H69/$H$24)</f>
        <v>269.81617816847665</v>
      </c>
      <c r="D69" s="173"/>
      <c r="E69" s="173"/>
      <c r="G69" s="240">
        <v>44151</v>
      </c>
      <c r="H69" s="241">
        <v>72.64</v>
      </c>
    </row>
    <row r="70" spans="1:14" x14ac:dyDescent="0.2">
      <c r="A70" s="239" t="s">
        <v>10</v>
      </c>
      <c r="B70" s="11">
        <v>138.69999999999999</v>
      </c>
      <c r="C70" s="176">
        <f>+((B70/$B$24)*Indeks!$D$163)*(H70/$H$24)</f>
        <v>281.58141202986536</v>
      </c>
      <c r="G70" s="240">
        <v>44180</v>
      </c>
      <c r="H70" s="241">
        <v>73.02</v>
      </c>
      <c r="N70" s="11"/>
    </row>
    <row r="71" spans="1:14" x14ac:dyDescent="0.2">
      <c r="A71" s="242" t="s">
        <v>11</v>
      </c>
      <c r="B71" s="11">
        <v>145.1</v>
      </c>
      <c r="C71" s="176">
        <f>+((B71/$B$24)*Indeks!$D$163)*(H71/$H$24)</f>
        <v>296.22835944490652</v>
      </c>
      <c r="G71" s="248" t="s">
        <v>121</v>
      </c>
      <c r="H71" s="241">
        <v>73.430000000000007</v>
      </c>
    </row>
    <row r="72" spans="1:14" x14ac:dyDescent="0.2">
      <c r="A72" s="239" t="s">
        <v>12</v>
      </c>
      <c r="B72" s="11">
        <v>149.80000000000001</v>
      </c>
      <c r="C72" s="176">
        <f>+((B72/$B$24)*Indeks!$D$163)*(H72/$H$24)</f>
        <v>308.36417440169055</v>
      </c>
      <c r="G72" s="240">
        <v>44242</v>
      </c>
      <c r="H72" s="250">
        <v>74.040000000000006</v>
      </c>
    </row>
    <row r="73" spans="1:14" x14ac:dyDescent="0.2">
      <c r="A73" s="242" t="s">
        <v>13</v>
      </c>
      <c r="B73" s="11">
        <v>148.69999999999999</v>
      </c>
      <c r="C73" s="176">
        <f>+((B73/$B$24)*Indeks!$D$163)*(H73/$H$24)</f>
        <v>301.84154120450944</v>
      </c>
      <c r="G73" s="240">
        <v>44270</v>
      </c>
      <c r="H73" s="250">
        <v>73.010000000000005</v>
      </c>
    </row>
    <row r="74" spans="1:14" x14ac:dyDescent="0.2">
      <c r="A74" s="239" t="s">
        <v>30</v>
      </c>
      <c r="B74" s="11">
        <v>150.5</v>
      </c>
      <c r="C74" s="176">
        <f>E76+((B74/$B$24)*Indeks!$D$163)*(H74/$H$24)</f>
        <v>307.21086620158627</v>
      </c>
      <c r="G74" s="240">
        <v>44301</v>
      </c>
      <c r="H74" s="241">
        <v>73.42</v>
      </c>
    </row>
    <row r="75" spans="1:14" x14ac:dyDescent="0.2">
      <c r="A75" s="239" t="s">
        <v>14</v>
      </c>
      <c r="B75" s="11">
        <v>151.9</v>
      </c>
      <c r="C75" s="176">
        <f>+((B75/$B$24)*Indeks!$D$163)*(H75/$H$24)</f>
        <v>309.26623034287911</v>
      </c>
      <c r="G75" s="249">
        <v>44333</v>
      </c>
      <c r="H75" s="250">
        <v>73.23</v>
      </c>
    </row>
    <row r="76" spans="1:14" x14ac:dyDescent="0.2">
      <c r="A76" s="242" t="s">
        <v>15</v>
      </c>
      <c r="B76" s="11">
        <v>155.69999999999999</v>
      </c>
      <c r="C76" s="245">
        <f>+((B76/$B$24)*Indeks!$D$163)*(H76/$H$24)</f>
        <v>319.16740987747085</v>
      </c>
      <c r="G76" s="240">
        <v>44362</v>
      </c>
      <c r="H76" s="241">
        <v>73.73</v>
      </c>
    </row>
    <row r="77" spans="1:14" x14ac:dyDescent="0.2">
      <c r="A77" s="242" t="s">
        <v>16</v>
      </c>
      <c r="B77" s="11">
        <v>154.30000000000001</v>
      </c>
      <c r="C77" s="245">
        <f>+((B77/$B$24)*Indeks!$D$163)*(H77/$H$24)</f>
        <v>311.79312688554529</v>
      </c>
      <c r="G77" s="240">
        <v>44392</v>
      </c>
      <c r="H77" s="241">
        <v>72.680000000000007</v>
      </c>
    </row>
    <row r="78" spans="1:14" x14ac:dyDescent="0.2">
      <c r="A78" s="242" t="s">
        <v>17</v>
      </c>
      <c r="B78" s="11">
        <v>156.19999999999999</v>
      </c>
      <c r="C78" s="245">
        <f>+((B78/$B$24)*Indeks!$D$163)*(H78/$H$24)</f>
        <v>316.58785517630218</v>
      </c>
      <c r="G78" s="240">
        <v>44424</v>
      </c>
      <c r="H78" s="250">
        <v>72.900000000000006</v>
      </c>
    </row>
    <row r="79" spans="1:14" x14ac:dyDescent="0.2">
      <c r="A79" s="243" t="s">
        <v>18</v>
      </c>
      <c r="B79" s="13">
        <v>166.4</v>
      </c>
      <c r="C79" s="247">
        <f>+((B79/$B$24)*Indeks!$D$163)*(H79/$H$24)</f>
        <v>339.38944946544734</v>
      </c>
      <c r="D79" s="13"/>
      <c r="E79" s="13"/>
      <c r="F79" s="13"/>
      <c r="G79" s="246">
        <v>44454</v>
      </c>
      <c r="H79" s="244">
        <v>73.36</v>
      </c>
    </row>
    <row r="81" spans="1:8" x14ac:dyDescent="0.2">
      <c r="A81" s="220"/>
      <c r="B81" s="298" t="s">
        <v>75</v>
      </c>
      <c r="C81" s="298" t="s">
        <v>78</v>
      </c>
      <c r="D81" s="221"/>
      <c r="E81" s="221"/>
      <c r="F81" s="221"/>
      <c r="G81" s="221"/>
      <c r="H81" s="222"/>
    </row>
    <row r="82" spans="1:8" x14ac:dyDescent="0.2">
      <c r="A82" s="223">
        <v>2022</v>
      </c>
      <c r="B82" s="299"/>
      <c r="C82" s="299"/>
      <c r="D82" s="226"/>
      <c r="E82" s="226"/>
      <c r="F82" s="226"/>
      <c r="G82" s="224" t="s">
        <v>112</v>
      </c>
      <c r="H82" s="225" t="s">
        <v>109</v>
      </c>
    </row>
    <row r="83" spans="1:8" x14ac:dyDescent="0.2">
      <c r="A83" s="239" t="s">
        <v>107</v>
      </c>
      <c r="B83" s="11">
        <v>167.9</v>
      </c>
      <c r="C83" s="176">
        <f>+((B83/$B$24)*Indeks!$D$163)*(H83/$H$24)</f>
        <v>346.3233389881658</v>
      </c>
      <c r="D83" s="173"/>
      <c r="E83" s="116"/>
      <c r="G83" s="240">
        <v>44484</v>
      </c>
      <c r="H83" s="241">
        <v>74.19</v>
      </c>
    </row>
    <row r="84" spans="1:8" x14ac:dyDescent="0.2">
      <c r="A84" s="242" t="s">
        <v>108</v>
      </c>
      <c r="B84" s="11">
        <v>167</v>
      </c>
      <c r="C84" s="176">
        <f>+((B84/$B$24)*Indeks!$D$163)*(H84/$H$24)</f>
        <v>345.07052521821981</v>
      </c>
      <c r="D84" s="173"/>
      <c r="E84" s="173"/>
      <c r="G84" s="240">
        <v>44515</v>
      </c>
      <c r="H84" s="241">
        <v>74.319999999999993</v>
      </c>
    </row>
    <row r="85" spans="1:8" x14ac:dyDescent="0.2">
      <c r="A85" s="239" t="s">
        <v>10</v>
      </c>
      <c r="B85" s="11">
        <v>204.9</v>
      </c>
      <c r="C85" s="176">
        <f>+((B85/$B$24)*Indeks!$D$163)*(H85/$H$24)</f>
        <v>413.01484112624797</v>
      </c>
      <c r="G85" s="240">
        <v>44545</v>
      </c>
      <c r="H85" s="241">
        <v>72.5</v>
      </c>
    </row>
    <row r="86" spans="1:8" x14ac:dyDescent="0.2">
      <c r="A86" s="242" t="s">
        <v>11</v>
      </c>
      <c r="B86" s="11">
        <v>215.4</v>
      </c>
      <c r="C86" s="176">
        <f>+((B86/$B$24)*Indeks!$D$163)*(H86/$H$24)</f>
        <v>433.99992356538559</v>
      </c>
      <c r="G86" s="240">
        <v>44575</v>
      </c>
      <c r="H86" s="241">
        <v>72.47</v>
      </c>
    </row>
    <row r="87" spans="1:8" x14ac:dyDescent="0.2">
      <c r="A87" s="239" t="s">
        <v>12</v>
      </c>
      <c r="B87" s="11">
        <v>248.5</v>
      </c>
      <c r="C87" s="176">
        <f>+((B87/$B$24)*Indeks!$D$163)*(H87/$H$24)</f>
        <v>486.25194142398379</v>
      </c>
      <c r="G87" s="240">
        <v>44607</v>
      </c>
      <c r="H87" s="250">
        <v>70.38</v>
      </c>
    </row>
    <row r="88" spans="1:8" x14ac:dyDescent="0.2">
      <c r="A88" s="242" t="s">
        <v>13</v>
      </c>
      <c r="B88" s="11">
        <v>246.1</v>
      </c>
      <c r="C88" s="176">
        <f>+((B88/$B$24)*Indeks!$D$163)*(H88/$H$24)</f>
        <v>483.67683514169613</v>
      </c>
      <c r="G88" s="240">
        <v>44635</v>
      </c>
      <c r="H88" s="250">
        <v>70.69</v>
      </c>
    </row>
    <row r="89" spans="1:8" x14ac:dyDescent="0.2">
      <c r="A89" s="239" t="s">
        <v>30</v>
      </c>
      <c r="B89" s="11">
        <v>250.3</v>
      </c>
      <c r="C89" s="176">
        <f>E91+((B89/$B$24)*Indeks!$D$163)*(H89/$H$24)</f>
        <v>500.90848074223686</v>
      </c>
      <c r="G89" s="240">
        <v>44664</v>
      </c>
      <c r="H89" s="241">
        <v>71.98</v>
      </c>
    </row>
    <row r="90" spans="1:8" x14ac:dyDescent="0.2">
      <c r="A90" s="239" t="s">
        <v>14</v>
      </c>
      <c r="B90" s="11">
        <v>264.60000000000002</v>
      </c>
      <c r="C90" s="176">
        <f>+((B90/$B$24)*Indeks!$D$163)*(H90/$H$24)</f>
        <v>521.50744042251404</v>
      </c>
      <c r="G90" s="249">
        <v>44697</v>
      </c>
      <c r="H90" s="250">
        <v>70.89</v>
      </c>
    </row>
    <row r="91" spans="1:8" x14ac:dyDescent="0.2">
      <c r="A91" s="242" t="s">
        <v>15</v>
      </c>
      <c r="B91" s="11">
        <v>266</v>
      </c>
      <c r="C91" s="245">
        <f>+((B91/$B$24)*Indeks!$D$163)*(H91/$H$24)</f>
        <v>517.68474726246529</v>
      </c>
      <c r="G91" s="240">
        <v>44727</v>
      </c>
      <c r="H91" s="241">
        <v>70</v>
      </c>
    </row>
    <row r="92" spans="1:8" x14ac:dyDescent="0.2">
      <c r="A92" s="242" t="s">
        <v>16</v>
      </c>
      <c r="B92" s="11">
        <v>245</v>
      </c>
      <c r="C92" s="245">
        <f>+((B92/$B$24)*Indeks!$D$163)*(H92/$H$24)</f>
        <v>478.51780914721309</v>
      </c>
      <c r="G92" s="240">
        <v>44757</v>
      </c>
      <c r="H92" s="241">
        <v>70.25</v>
      </c>
    </row>
    <row r="93" spans="1:8" x14ac:dyDescent="0.2">
      <c r="A93" s="242" t="s">
        <v>17</v>
      </c>
      <c r="B93" s="11">
        <v>255.7</v>
      </c>
      <c r="C93" s="245">
        <f>+((B93/$B$24)*Indeks!$D$163)*(H93/$H$24)</f>
        <v>503.61072839666366</v>
      </c>
      <c r="G93" s="240">
        <v>44788</v>
      </c>
      <c r="H93" s="250">
        <v>70.84</v>
      </c>
    </row>
    <row r="94" spans="1:8" x14ac:dyDescent="0.2">
      <c r="A94" s="243" t="s">
        <v>18</v>
      </c>
      <c r="B94" s="13">
        <v>273.7</v>
      </c>
      <c r="C94" s="247">
        <f>+((B94/$B$24)*Indeks!$D$163)*(H94/$H$24)</f>
        <v>529.39824045174578</v>
      </c>
      <c r="D94" s="13"/>
      <c r="E94" s="13"/>
      <c r="F94" s="13"/>
      <c r="G94" s="246">
        <v>44819</v>
      </c>
      <c r="H94" s="244">
        <v>69.569999999999993</v>
      </c>
    </row>
    <row r="96" spans="1:8" x14ac:dyDescent="0.2">
      <c r="A96" s="220"/>
      <c r="B96" s="298" t="s">
        <v>75</v>
      </c>
      <c r="C96" s="298" t="s">
        <v>78</v>
      </c>
      <c r="D96" s="221"/>
      <c r="E96" s="221"/>
      <c r="F96" s="221"/>
      <c r="G96" s="221"/>
      <c r="H96" s="222"/>
    </row>
    <row r="97" spans="1:8" x14ac:dyDescent="0.2">
      <c r="A97" s="223">
        <v>2023</v>
      </c>
      <c r="B97" s="299"/>
      <c r="C97" s="299"/>
      <c r="D97" s="226"/>
      <c r="E97" s="226"/>
      <c r="F97" s="226"/>
      <c r="G97" s="224" t="s">
        <v>112</v>
      </c>
      <c r="H97" s="225" t="s">
        <v>109</v>
      </c>
    </row>
    <row r="98" spans="1:8" x14ac:dyDescent="0.2">
      <c r="A98" s="239" t="s">
        <v>107</v>
      </c>
      <c r="B98" s="11">
        <v>265</v>
      </c>
      <c r="C98" s="176">
        <f>+((B98/$B$24)*Indeks!$D$163)*(H98/$H$24)</f>
        <v>497.98242201286564</v>
      </c>
      <c r="D98" s="173"/>
      <c r="E98" s="116"/>
      <c r="G98" s="240">
        <v>44848</v>
      </c>
      <c r="H98" s="241">
        <v>67.59</v>
      </c>
    </row>
    <row r="99" spans="1:8" x14ac:dyDescent="0.2">
      <c r="A99" s="242" t="s">
        <v>108</v>
      </c>
      <c r="B99" s="11">
        <v>239.2</v>
      </c>
      <c r="C99" s="176">
        <f>+((B99/$B$24)*Indeks!$D$163)*(H99/$H$24)</f>
        <v>457.74608399864962</v>
      </c>
      <c r="D99" s="173"/>
      <c r="E99" s="173"/>
      <c r="G99" s="240">
        <v>44880</v>
      </c>
      <c r="H99" s="241">
        <v>68.83</v>
      </c>
    </row>
    <row r="100" spans="1:8" x14ac:dyDescent="0.2">
      <c r="A100" s="239" t="s">
        <v>10</v>
      </c>
      <c r="B100" s="11">
        <v>248.4</v>
      </c>
      <c r="C100" s="176">
        <f>+((B100/$B$24)*Indeks!$D$163)*(H100/$H$24)</f>
        <v>471.41518553581926</v>
      </c>
      <c r="G100" s="240">
        <v>44910</v>
      </c>
      <c r="H100" s="241">
        <v>68.260000000000005</v>
      </c>
    </row>
    <row r="101" spans="1:8" x14ac:dyDescent="0.2">
      <c r="A101" s="242" t="s">
        <v>11</v>
      </c>
      <c r="B101" s="11">
        <v>240.1</v>
      </c>
      <c r="C101" s="176">
        <f>+((B101/$B$24)*Indeks!$D$163)*(H101/$H$24)</f>
        <v>440.51021240017207</v>
      </c>
      <c r="G101" s="240">
        <v>44942</v>
      </c>
      <c r="H101" s="241">
        <v>65.989999999999995</v>
      </c>
    </row>
    <row r="102" spans="1:8" x14ac:dyDescent="0.2">
      <c r="A102" s="239" t="s">
        <v>12</v>
      </c>
      <c r="B102" s="11">
        <v>241.5</v>
      </c>
      <c r="C102" s="176">
        <f>+((B102/$B$24)*Indeks!$D$163)*(H102/$H$24)</f>
        <v>449.12168409072461</v>
      </c>
      <c r="G102" s="240">
        <v>44972</v>
      </c>
      <c r="H102" s="250">
        <v>66.89</v>
      </c>
    </row>
    <row r="103" spans="1:8" x14ac:dyDescent="0.2">
      <c r="A103" s="242" t="s">
        <v>13</v>
      </c>
      <c r="B103" s="11">
        <v>236.6</v>
      </c>
      <c r="C103" s="176">
        <f>+((B103/$B$24)*Indeks!$D$163)*(H103/$H$24)</f>
        <v>437.18048745997908</v>
      </c>
      <c r="G103" s="240">
        <v>45000</v>
      </c>
      <c r="H103" s="250">
        <v>66.459999999999994</v>
      </c>
    </row>
    <row r="104" spans="1:8" x14ac:dyDescent="0.2">
      <c r="A104" s="239" t="s">
        <v>30</v>
      </c>
      <c r="B104" s="11">
        <v>225.1</v>
      </c>
      <c r="C104" s="176">
        <f>E106+((B104/$B$24)*Indeks!$D$163)*(H104/$H$24)</f>
        <v>410.98711278725267</v>
      </c>
      <c r="G104" s="240">
        <v>45030</v>
      </c>
      <c r="H104" s="241">
        <v>65.67</v>
      </c>
    </row>
    <row r="105" spans="1:8" x14ac:dyDescent="0.2">
      <c r="A105" s="239" t="s">
        <v>14</v>
      </c>
      <c r="B105" s="11">
        <v>234.5</v>
      </c>
      <c r="C105" s="176">
        <f>+((B105/$B$24)*Indeks!$D$163)*(H105/$H$24)</f>
        <v>430.04033031427787</v>
      </c>
      <c r="G105" s="249">
        <v>45061</v>
      </c>
      <c r="H105" s="250">
        <v>65.959999999999994</v>
      </c>
    </row>
    <row r="106" spans="1:8" x14ac:dyDescent="0.2">
      <c r="A106" s="242" t="s">
        <v>15</v>
      </c>
      <c r="B106" s="11">
        <v>238.2</v>
      </c>
      <c r="C106" s="245">
        <f>+((B106/$B$24)*Indeks!$D$163)*(H106/$H$24)</f>
        <v>424.70628683945006</v>
      </c>
      <c r="G106" s="249">
        <v>45092</v>
      </c>
      <c r="H106" s="241">
        <v>64.13</v>
      </c>
    </row>
    <row r="107" spans="1:8" x14ac:dyDescent="0.2">
      <c r="A107" s="242" t="s">
        <v>16</v>
      </c>
      <c r="B107" s="11">
        <v>251.3</v>
      </c>
      <c r="C107" s="245">
        <f>+((B107/$B$24)*Indeks!$D$163)*(H107/$H$24)</f>
        <v>452.81437220897953</v>
      </c>
      <c r="G107" s="240">
        <v>45121</v>
      </c>
      <c r="H107" s="241">
        <v>64.81</v>
      </c>
    </row>
    <row r="108" spans="1:8" x14ac:dyDescent="0.2">
      <c r="A108" s="242" t="s">
        <v>17</v>
      </c>
      <c r="B108" s="11"/>
      <c r="C108" s="245">
        <f>+((B108/$B$24)*Indeks!$D$163)*(H108/$H$24)</f>
        <v>0</v>
      </c>
      <c r="G108" s="240"/>
      <c r="H108" s="250"/>
    </row>
    <row r="109" spans="1:8" x14ac:dyDescent="0.2">
      <c r="A109" s="243" t="s">
        <v>18</v>
      </c>
      <c r="B109" s="13"/>
      <c r="C109" s="247">
        <f>+((B109/$B$24)*Indeks!$D$163)*(H109/$H$24)</f>
        <v>0</v>
      </c>
      <c r="D109" s="13"/>
      <c r="E109" s="13"/>
      <c r="F109" s="13"/>
      <c r="G109" s="246"/>
      <c r="H109" s="244"/>
    </row>
  </sheetData>
  <mergeCells count="15">
    <mergeCell ref="A1:N1"/>
    <mergeCell ref="G16:M17"/>
    <mergeCell ref="A2:N2"/>
    <mergeCell ref="B51:B52"/>
    <mergeCell ref="C51:C52"/>
    <mergeCell ref="B36:B37"/>
    <mergeCell ref="C36:C37"/>
    <mergeCell ref="B21:B22"/>
    <mergeCell ref="C21:C22"/>
    <mergeCell ref="B96:B97"/>
    <mergeCell ref="C96:C97"/>
    <mergeCell ref="B81:B82"/>
    <mergeCell ref="C81:C82"/>
    <mergeCell ref="B66:B67"/>
    <mergeCell ref="C66:C67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2023-07-18T09:25:17Z</cp:lastPrinted>
  <dcterms:created xsi:type="dcterms:W3CDTF">2009-05-19T06:17:18Z</dcterms:created>
  <dcterms:modified xsi:type="dcterms:W3CDTF">2023-09-15T08:59:12Z</dcterms:modified>
</cp:coreProperties>
</file>